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10.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grainsa2019.sharepoint.com/sites/ProductionEconomics/Produksie Begrotings_Production Budgets/"/>
    </mc:Choice>
  </mc:AlternateContent>
  <xr:revisionPtr revIDLastSave="1362" documentId="13_ncr:1_{685C69DB-23C2-4043-95D7-17095184F214}" xr6:coauthVersionLast="47" xr6:coauthVersionMax="47" xr10:uidLastSave="{7566C348-4E11-4493-BA56-5406CCDC593C}"/>
  <bookViews>
    <workbookView xWindow="-108" yWindow="-108" windowWidth="23256" windowHeight="12456" tabRatio="883" firstSheet="1" activeTab="8" xr2:uid="{00000000-000D-0000-FFFF-FFFF00000000}"/>
  </bookViews>
  <sheets>
    <sheet name="Pryse + Sensatiwiteitsanali" sheetId="39" r:id="rId1"/>
    <sheet name="W-RR mielies Laer opbrengs " sheetId="2" r:id="rId2"/>
    <sheet name="W-RR mielies Hoer opbrengs  " sheetId="19" r:id="rId3"/>
    <sheet name="W-BT Mielies " sheetId="22" r:id="rId4"/>
    <sheet name="Sonneblom" sheetId="20" r:id="rId5"/>
    <sheet name="Graansorghum" sheetId="16" r:id="rId6"/>
    <sheet name="Grondbone" sheetId="34" r:id="rId7"/>
    <sheet name="Sojabone" sheetId="30" r:id="rId8"/>
    <sheet name="Crop Comparison" sheetId="40" r:id="rId9"/>
    <sheet name="Grafieke" sheetId="41" r:id="rId10"/>
  </sheets>
  <externalReferences>
    <externalReference r:id="rId11"/>
    <externalReference r:id="rId12"/>
    <externalReference r:id="rId13"/>
  </externalReferences>
  <definedNames>
    <definedName name="BTopbrengspeil" localSheetId="9">'[1]W-BT Mielies'!$K$9:$K$14</definedName>
    <definedName name="BTopbrengspeil">'W-BT Mielies '!$M$9:$M$14</definedName>
    <definedName name="Cultivar">[2]Seedprices!$A$3:$A$49</definedName>
    <definedName name="Price80DP">[2]Seedprices!$B$3:$B$49</definedName>
    <definedName name="_xlnm.Print_Area" localSheetId="5">Graansorghum!$A$1:$H$42</definedName>
    <definedName name="_xlnm.Print_Area" localSheetId="6">Grondbone!$A$1:$E$50</definedName>
    <definedName name="_xlnm.Print_Area" localSheetId="7">Sojabone!$A$1:$H$42</definedName>
    <definedName name="_xlnm.Print_Area" localSheetId="4">Sonneblom!$A$1:$I$42</definedName>
    <definedName name="_xlnm.Print_Area" localSheetId="3">'W-BT Mielies '!$A$1:$I$46</definedName>
    <definedName name="_xlnm.Print_Area" localSheetId="2">'W-RR mielies Hoer opbrengs  '!$A$1:$H$46</definedName>
    <definedName name="_xlnm.Print_Area" localSheetId="1">'W-RR mielies Laer opbrengs '!$A$1:$I$50</definedName>
    <definedName name="RRHpbrengspeil">'W-RR mielies Hoer opbrengs  '!$L$9:$L$14</definedName>
    <definedName name="RRLopbrengspeil">'W-RR mielies Laer opbrengs '!$M$9:$M$14</definedName>
    <definedName name="RRopbrengspeil">'W-RR mielies Laer opbrengs '!$M$9:$M$14</definedName>
    <definedName name="RRopbrens">'[3]W-BT Mielies'!$K$9:$K$14</definedName>
    <definedName name="Sojaopbrengspeil" localSheetId="9">[1]Sojabone!$K$9:$K$13</definedName>
    <definedName name="Sojaopbrengspeil">Sojabone!$L$9:$L$13</definedName>
    <definedName name="Sonopbrengspeil" localSheetId="9">[1]Sonneblom!$K$9:$K$13</definedName>
    <definedName name="Sonopbrengspeil">Sonneblom!$M$9:$M$14</definedName>
    <definedName name="Sorgopbrengspeil" localSheetId="9">[1]Graansorghum!$K$9:$K$13</definedName>
    <definedName name="Sorgopbrengspeil">Graansorghum!$L$9:$L$13</definedName>
    <definedName name="Verminopbrengspei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40" l="1"/>
  <c r="C13" i="40"/>
  <c r="C14" i="40"/>
  <c r="C15" i="40"/>
  <c r="C16" i="40"/>
  <c r="C17" i="40"/>
  <c r="C19" i="40"/>
  <c r="C21" i="40"/>
  <c r="C22" i="40"/>
  <c r="C23" i="40"/>
  <c r="C25" i="40"/>
  <c r="C26" i="40"/>
  <c r="C11" i="40"/>
  <c r="B12" i="40"/>
  <c r="B13" i="40"/>
  <c r="B14" i="40"/>
  <c r="B15" i="40"/>
  <c r="B16" i="40"/>
  <c r="B17" i="40"/>
  <c r="B19" i="40"/>
  <c r="B21" i="40"/>
  <c r="B22" i="40"/>
  <c r="B23" i="40"/>
  <c r="B26" i="40"/>
  <c r="B11" i="40"/>
  <c r="D31" i="2"/>
  <c r="D33" i="2" l="1"/>
  <c r="F12" i="40" l="1"/>
  <c r="F13" i="40"/>
  <c r="F14" i="40"/>
  <c r="F15" i="40"/>
  <c r="F16" i="40"/>
  <c r="F17" i="40"/>
  <c r="F19" i="40"/>
  <c r="F21" i="40"/>
  <c r="F22" i="40"/>
  <c r="F23" i="40"/>
  <c r="F25" i="40"/>
  <c r="F26" i="40"/>
  <c r="F11" i="40"/>
  <c r="E12" i="40"/>
  <c r="E13" i="40"/>
  <c r="E14" i="40"/>
  <c r="E15" i="40"/>
  <c r="E16" i="40"/>
  <c r="E17" i="40"/>
  <c r="E19" i="40"/>
  <c r="E21" i="40"/>
  <c r="E22" i="40"/>
  <c r="E23" i="40"/>
  <c r="E26" i="40"/>
  <c r="E11" i="40"/>
  <c r="D12" i="40"/>
  <c r="D13" i="40"/>
  <c r="D14" i="40"/>
  <c r="D15" i="40"/>
  <c r="D16" i="40"/>
  <c r="D17" i="40"/>
  <c r="D19" i="40"/>
  <c r="D21" i="40"/>
  <c r="D22" i="40"/>
  <c r="D23" i="40"/>
  <c r="D25" i="40"/>
  <c r="D26" i="40"/>
  <c r="D11" i="40"/>
  <c r="H29" i="40"/>
  <c r="B74" i="41" s="1"/>
  <c r="G29" i="40"/>
  <c r="F29" i="40"/>
  <c r="E29" i="40"/>
  <c r="D29" i="40"/>
  <c r="H12" i="40"/>
  <c r="H13" i="40"/>
  <c r="H14" i="40"/>
  <c r="H15" i="40"/>
  <c r="H16" i="40"/>
  <c r="H17" i="40"/>
  <c r="H23" i="40"/>
  <c r="H25" i="40"/>
  <c r="H26" i="40"/>
  <c r="H11" i="40"/>
  <c r="G12" i="40"/>
  <c r="G13" i="40"/>
  <c r="G14" i="40"/>
  <c r="G15" i="40"/>
  <c r="G16" i="40"/>
  <c r="G17" i="40"/>
  <c r="G21" i="40"/>
  <c r="G23" i="40"/>
  <c r="G26" i="40"/>
  <c r="G11" i="40"/>
  <c r="A12" i="40"/>
  <c r="A13" i="40"/>
  <c r="A14" i="40"/>
  <c r="A15" i="40"/>
  <c r="A16" i="40"/>
  <c r="A17" i="40"/>
  <c r="A18" i="40"/>
  <c r="A19" i="40"/>
  <c r="A20" i="40"/>
  <c r="A21" i="40"/>
  <c r="A22" i="40"/>
  <c r="A23" i="40"/>
  <c r="A24" i="40"/>
  <c r="A25" i="40"/>
  <c r="A26" i="40"/>
  <c r="A11" i="40"/>
  <c r="D4" i="40"/>
  <c r="A23" i="30"/>
  <c r="A23" i="16"/>
  <c r="A30" i="34" s="1"/>
  <c r="A23" i="20"/>
  <c r="A23" i="22"/>
  <c r="A23" i="19"/>
  <c r="D36" i="2"/>
  <c r="D25" i="2"/>
  <c r="D29" i="2" s="1"/>
  <c r="E25" i="2"/>
  <c r="F25" i="2"/>
  <c r="G25" i="2"/>
  <c r="H25" i="2"/>
  <c r="I25" i="2"/>
  <c r="H4" i="40"/>
  <c r="G4" i="40"/>
  <c r="F4" i="40"/>
  <c r="E4" i="40"/>
  <c r="D32" i="34"/>
  <c r="D36" i="34" s="1"/>
  <c r="D38" i="34" s="1"/>
  <c r="D33" i="16"/>
  <c r="D25" i="16"/>
  <c r="D29" i="16" s="1"/>
  <c r="D31" i="16" s="1"/>
  <c r="E33" i="30"/>
  <c r="F33" i="30"/>
  <c r="G33" i="30"/>
  <c r="H33" i="30"/>
  <c r="D33" i="30"/>
  <c r="E33" i="20"/>
  <c r="F33" i="20"/>
  <c r="G33" i="20"/>
  <c r="H33" i="20"/>
  <c r="I33" i="20"/>
  <c r="D33" i="20"/>
  <c r="D25" i="20"/>
  <c r="E33" i="22"/>
  <c r="F33" i="22"/>
  <c r="G33" i="22"/>
  <c r="H33" i="22"/>
  <c r="I33" i="22"/>
  <c r="D33" i="22"/>
  <c r="E33" i="19"/>
  <c r="F33" i="19"/>
  <c r="G33" i="19"/>
  <c r="H33" i="19"/>
  <c r="D33" i="19"/>
  <c r="D25" i="19"/>
  <c r="D29" i="19" s="1"/>
  <c r="E33" i="2"/>
  <c r="F33" i="2"/>
  <c r="G33" i="2"/>
  <c r="H33" i="2"/>
  <c r="I33" i="2"/>
  <c r="D35" i="2" l="1"/>
  <c r="D29" i="20"/>
  <c r="D31" i="20" s="1"/>
  <c r="D35" i="20" s="1"/>
  <c r="D27" i="40"/>
  <c r="D31" i="19"/>
  <c r="B65" i="39" l="1"/>
  <c r="B78" i="39"/>
  <c r="B25" i="39"/>
  <c r="C4" i="40"/>
  <c r="B4" i="40" l="1"/>
  <c r="C5" i="40" l="1"/>
  <c r="F5" i="40"/>
  <c r="B85" i="39" l="1"/>
  <c r="H6" i="40" l="1"/>
  <c r="D5" i="34" l="1"/>
  <c r="D6" i="34"/>
  <c r="D7" i="34"/>
  <c r="D8" i="34"/>
  <c r="D9" i="34"/>
  <c r="F25" i="16"/>
  <c r="H60" i="40"/>
  <c r="F60" i="40"/>
  <c r="E60" i="40"/>
  <c r="D60" i="40"/>
  <c r="G6" i="40"/>
  <c r="E6" i="40"/>
  <c r="D6" i="40"/>
  <c r="B60" i="40"/>
  <c r="G5" i="40"/>
  <c r="G59" i="40" s="1"/>
  <c r="F59" i="40"/>
  <c r="E5" i="40"/>
  <c r="E59" i="40" s="1"/>
  <c r="B5" i="40"/>
  <c r="B59" i="40" s="1"/>
  <c r="H58" i="40"/>
  <c r="G58" i="40"/>
  <c r="F58" i="40"/>
  <c r="E58" i="40"/>
  <c r="D58" i="40"/>
  <c r="C58" i="40"/>
  <c r="B58" i="40"/>
  <c r="N11" i="16"/>
  <c r="N10" i="16"/>
  <c r="D4" i="34"/>
  <c r="N14" i="16"/>
  <c r="M14" i="16"/>
  <c r="L14" i="16"/>
  <c r="L13" i="16"/>
  <c r="L12" i="16"/>
  <c r="L11" i="16"/>
  <c r="L10" i="16"/>
  <c r="N9" i="16"/>
  <c r="L9" i="16"/>
  <c r="M14" i="30"/>
  <c r="L14" i="30"/>
  <c r="L13" i="30"/>
  <c r="L12" i="30"/>
  <c r="L11" i="30"/>
  <c r="L10" i="30"/>
  <c r="L9" i="30"/>
  <c r="M14" i="20"/>
  <c r="M13" i="20"/>
  <c r="M12" i="20"/>
  <c r="M11" i="20"/>
  <c r="M10" i="20"/>
  <c r="M9" i="20"/>
  <c r="M14" i="22"/>
  <c r="M13" i="22"/>
  <c r="M12" i="22"/>
  <c r="M11" i="22"/>
  <c r="M10" i="22"/>
  <c r="M9" i="22"/>
  <c r="L14" i="19"/>
  <c r="L9" i="19"/>
  <c r="L13" i="19"/>
  <c r="L12" i="19"/>
  <c r="L11" i="19"/>
  <c r="L10" i="19"/>
  <c r="M14" i="2"/>
  <c r="M13" i="2"/>
  <c r="M12" i="2"/>
  <c r="M11" i="2"/>
  <c r="M10" i="2"/>
  <c r="M9" i="2"/>
  <c r="D43" i="34"/>
  <c r="D36" i="16"/>
  <c r="F36" i="16" s="1"/>
  <c r="E33" i="16"/>
  <c r="E25" i="16"/>
  <c r="E29" i="16" s="1"/>
  <c r="E31" i="16" s="1"/>
  <c r="G25" i="16"/>
  <c r="H25" i="16"/>
  <c r="D36" i="30"/>
  <c r="F36" i="30" s="1"/>
  <c r="E25" i="30"/>
  <c r="E29" i="30" s="1"/>
  <c r="E31" i="30" s="1"/>
  <c r="F25" i="30"/>
  <c r="G25" i="30"/>
  <c r="H25" i="30"/>
  <c r="D25" i="30"/>
  <c r="D29" i="30" s="1"/>
  <c r="D36" i="20"/>
  <c r="F36" i="20" s="1"/>
  <c r="E25" i="20"/>
  <c r="E29" i="20" s="1"/>
  <c r="E31" i="20" s="1"/>
  <c r="F25" i="20"/>
  <c r="G25" i="20"/>
  <c r="H25" i="20"/>
  <c r="I25" i="20"/>
  <c r="I29" i="20" s="1"/>
  <c r="I31" i="20" s="1"/>
  <c r="E25" i="22"/>
  <c r="E29" i="22" s="1"/>
  <c r="E31" i="22" s="1"/>
  <c r="F25" i="22"/>
  <c r="F29" i="22" s="1"/>
  <c r="F31" i="22" s="1"/>
  <c r="G25" i="22"/>
  <c r="H25" i="22"/>
  <c r="I25" i="22"/>
  <c r="I29" i="22" s="1"/>
  <c r="I31" i="22" s="1"/>
  <c r="D36" i="22"/>
  <c r="G36" i="22" s="1"/>
  <c r="D25" i="22"/>
  <c r="D38" i="22" s="1"/>
  <c r="D36" i="19"/>
  <c r="F36" i="19" s="1"/>
  <c r="E25" i="19"/>
  <c r="E29" i="19" s="1"/>
  <c r="E31" i="19" s="1"/>
  <c r="F25" i="19"/>
  <c r="G25" i="19"/>
  <c r="G29" i="19" s="1"/>
  <c r="G31" i="19" s="1"/>
  <c r="H25" i="19"/>
  <c r="H29" i="19" s="1"/>
  <c r="H31" i="19" s="1"/>
  <c r="M14" i="19"/>
  <c r="E29" i="2"/>
  <c r="E31" i="2" s="1"/>
  <c r="F29" i="2"/>
  <c r="F31" i="2" s="1"/>
  <c r="N9" i="2"/>
  <c r="G36" i="2"/>
  <c r="B91" i="39"/>
  <c r="B90" i="39"/>
  <c r="E89" i="39"/>
  <c r="B51" i="39"/>
  <c r="B48" i="39"/>
  <c r="E49" i="39"/>
  <c r="E50" i="39"/>
  <c r="E51" i="39" s="1"/>
  <c r="E23" i="39"/>
  <c r="E24" i="39" s="1"/>
  <c r="E25" i="39" s="1"/>
  <c r="Q23" i="39"/>
  <c r="Q22" i="39" s="1"/>
  <c r="Q21" i="39" s="1"/>
  <c r="B24" i="39"/>
  <c r="J19" i="39" s="1"/>
  <c r="I19" i="39" s="1"/>
  <c r="B77" i="39"/>
  <c r="B64" i="39"/>
  <c r="J59" i="39" s="1"/>
  <c r="B50" i="39"/>
  <c r="B37" i="39"/>
  <c r="E76" i="39"/>
  <c r="E77" i="39" s="1"/>
  <c r="E78" i="39" s="1"/>
  <c r="E63" i="39"/>
  <c r="N14" i="30"/>
  <c r="N14" i="19"/>
  <c r="Q89" i="39"/>
  <c r="E88" i="39"/>
  <c r="E87" i="39" s="1"/>
  <c r="E90" i="39"/>
  <c r="E91" i="39" s="1"/>
  <c r="Q49" i="39"/>
  <c r="E48" i="39"/>
  <c r="E47" i="39" s="1"/>
  <c r="E64" i="39"/>
  <c r="E65" i="39"/>
  <c r="E62" i="39"/>
  <c r="E61" i="39"/>
  <c r="Q63" i="39"/>
  <c r="E22" i="39"/>
  <c r="E21" i="39" s="1"/>
  <c r="Q62" i="39"/>
  <c r="Q61" i="39" s="1"/>
  <c r="Q64" i="39"/>
  <c r="Q65" i="39" s="1"/>
  <c r="B84" i="39" l="1"/>
  <c r="F29" i="16"/>
  <c r="F31" i="16" s="1"/>
  <c r="M13" i="16"/>
  <c r="H29" i="16"/>
  <c r="H31" i="16" s="1"/>
  <c r="M12" i="16"/>
  <c r="G29" i="16"/>
  <c r="G31" i="16" s="1"/>
  <c r="N13" i="20"/>
  <c r="H29" i="20"/>
  <c r="H31" i="20" s="1"/>
  <c r="N12" i="20"/>
  <c r="G29" i="20"/>
  <c r="G31" i="20" s="1"/>
  <c r="B58" i="39"/>
  <c r="F29" i="20"/>
  <c r="F31" i="20" s="1"/>
  <c r="N13" i="22"/>
  <c r="H29" i="22"/>
  <c r="H31" i="22" s="1"/>
  <c r="N9" i="22"/>
  <c r="D29" i="22"/>
  <c r="N12" i="22"/>
  <c r="G29" i="22"/>
  <c r="G31" i="22" s="1"/>
  <c r="M11" i="19"/>
  <c r="F29" i="19"/>
  <c r="F31" i="19" s="1"/>
  <c r="N13" i="2"/>
  <c r="H29" i="2"/>
  <c r="H31" i="2" s="1"/>
  <c r="N14" i="2"/>
  <c r="I29" i="2"/>
  <c r="I31" i="2" s="1"/>
  <c r="N12" i="2"/>
  <c r="G29" i="2"/>
  <c r="G31" i="2" s="1"/>
  <c r="M13" i="30"/>
  <c r="H29" i="30"/>
  <c r="H31" i="30" s="1"/>
  <c r="M11" i="30"/>
  <c r="F29" i="30"/>
  <c r="F31" i="30" s="1"/>
  <c r="M9" i="30"/>
  <c r="D31" i="30"/>
  <c r="B71" i="39"/>
  <c r="G29" i="30"/>
  <c r="G31" i="30" s="1"/>
  <c r="N9" i="20"/>
  <c r="G33" i="16"/>
  <c r="D35" i="16"/>
  <c r="H33" i="16"/>
  <c r="F33" i="16"/>
  <c r="E36" i="16"/>
  <c r="H36" i="16"/>
  <c r="M9" i="19"/>
  <c r="B52" i="39"/>
  <c r="Q24" i="39"/>
  <c r="Q25" i="39" s="1"/>
  <c r="N11" i="20"/>
  <c r="N11" i="22"/>
  <c r="B44" i="39"/>
  <c r="M12" i="19"/>
  <c r="N10" i="2"/>
  <c r="E36" i="22"/>
  <c r="B39" i="39"/>
  <c r="E75" i="39"/>
  <c r="E74" i="39" s="1"/>
  <c r="Q76" i="39"/>
  <c r="H36" i="30"/>
  <c r="G36" i="30"/>
  <c r="F36" i="2"/>
  <c r="B26" i="39"/>
  <c r="E3" i="22" s="1"/>
  <c r="E27" i="40"/>
  <c r="B36" i="41" s="1"/>
  <c r="N10" i="20"/>
  <c r="H36" i="22"/>
  <c r="I36" i="22"/>
  <c r="F36" i="22"/>
  <c r="J32" i="39"/>
  <c r="D10" i="34"/>
  <c r="H5" i="40" s="1"/>
  <c r="H7" i="40" s="1"/>
  <c r="H27" i="40"/>
  <c r="B73" i="41" s="1"/>
  <c r="G36" i="16"/>
  <c r="E36" i="30"/>
  <c r="G36" i="20"/>
  <c r="I36" i="20"/>
  <c r="E36" i="20"/>
  <c r="H36" i="20"/>
  <c r="E36" i="2"/>
  <c r="M9" i="16"/>
  <c r="C27" i="40"/>
  <c r="N11" i="2"/>
  <c r="G27" i="40"/>
  <c r="B27" i="40"/>
  <c r="E36" i="19"/>
  <c r="H36" i="19"/>
  <c r="I36" i="2"/>
  <c r="G36" i="19"/>
  <c r="B7" i="40"/>
  <c r="I59" i="39"/>
  <c r="V59" i="39"/>
  <c r="K59" i="39"/>
  <c r="J60" i="39"/>
  <c r="C7" i="40"/>
  <c r="C8" i="40" s="1"/>
  <c r="B5" i="41" s="1"/>
  <c r="B66" i="39"/>
  <c r="E3" i="20" s="1"/>
  <c r="H36" i="2"/>
  <c r="Q50" i="39"/>
  <c r="Q51" i="39" s="1"/>
  <c r="Q48" i="39"/>
  <c r="Q47" i="39" s="1"/>
  <c r="E36" i="39"/>
  <c r="F7" i="40"/>
  <c r="F8" i="40" s="1"/>
  <c r="M10" i="16"/>
  <c r="E35" i="16"/>
  <c r="I20" i="39"/>
  <c r="H19" i="39"/>
  <c r="M10" i="30"/>
  <c r="M10" i="19"/>
  <c r="J45" i="39"/>
  <c r="J72" i="39"/>
  <c r="J73" i="39" s="1"/>
  <c r="B79" i="39"/>
  <c r="E3" i="30" s="1"/>
  <c r="M11" i="16"/>
  <c r="V19" i="39"/>
  <c r="K19" i="39"/>
  <c r="J20" i="39"/>
  <c r="Q90" i="39"/>
  <c r="Q91" i="39" s="1"/>
  <c r="Q88" i="39"/>
  <c r="Q87" i="39" s="1"/>
  <c r="Q75" i="39"/>
  <c r="Q74" i="39" s="1"/>
  <c r="Q77" i="39"/>
  <c r="Q78" i="39" s="1"/>
  <c r="N10" i="22"/>
  <c r="N12" i="16"/>
  <c r="B92" i="39"/>
  <c r="E3" i="16" s="1"/>
  <c r="G7" i="40" s="1"/>
  <c r="G63" i="40" s="1"/>
  <c r="J85" i="39"/>
  <c r="M13" i="19"/>
  <c r="C60" i="40"/>
  <c r="N14" i="20"/>
  <c r="M12" i="30"/>
  <c r="F27" i="40"/>
  <c r="B53" i="41" s="1"/>
  <c r="N14" i="22"/>
  <c r="E7" i="40"/>
  <c r="E8" i="40" s="1"/>
  <c r="B38" i="41" s="1"/>
  <c r="G60" i="40"/>
  <c r="B21" i="41" l="1"/>
  <c r="B8" i="40"/>
  <c r="D31" i="22"/>
  <c r="D39" i="22"/>
  <c r="B86" i="39"/>
  <c r="B55" i="41"/>
  <c r="F33" i="40"/>
  <c r="F35" i="16"/>
  <c r="G35" i="16"/>
  <c r="G67" i="40"/>
  <c r="G68" i="40" s="1"/>
  <c r="G82" i="40" s="1"/>
  <c r="B18" i="39"/>
  <c r="B19" i="41"/>
  <c r="B31" i="39"/>
  <c r="B3" i="41"/>
  <c r="I32" i="39"/>
  <c r="I33" i="39" s="1"/>
  <c r="J33" i="39"/>
  <c r="E3" i="2"/>
  <c r="E38" i="22"/>
  <c r="I38" i="22"/>
  <c r="G38" i="22"/>
  <c r="H38" i="22"/>
  <c r="F38" i="22"/>
  <c r="E3" i="19"/>
  <c r="E38" i="19" s="1"/>
  <c r="C63" i="40"/>
  <c r="C64" i="40" s="1"/>
  <c r="C33" i="40"/>
  <c r="C74" i="40" s="1"/>
  <c r="C75" i="40" s="1"/>
  <c r="K32" i="39"/>
  <c r="K33" i="39" s="1"/>
  <c r="H32" i="39"/>
  <c r="H33" i="39" s="1"/>
  <c r="B63" i="40"/>
  <c r="B64" i="40" s="1"/>
  <c r="V32" i="39"/>
  <c r="W32" i="39" s="1"/>
  <c r="D46" i="34"/>
  <c r="D44" i="34"/>
  <c r="H67" i="40"/>
  <c r="H68" i="40" s="1"/>
  <c r="H82" i="40" s="1"/>
  <c r="G64" i="40"/>
  <c r="G8" i="40"/>
  <c r="B33" i="40"/>
  <c r="B74" i="40" s="1"/>
  <c r="B75" i="40" s="1"/>
  <c r="B67" i="40"/>
  <c r="B68" i="40" s="1"/>
  <c r="B82" i="40" s="1"/>
  <c r="C67" i="40"/>
  <c r="C68" i="40" s="1"/>
  <c r="C82" i="40" s="1"/>
  <c r="H59" i="40"/>
  <c r="H8" i="40"/>
  <c r="H38" i="20"/>
  <c r="G31" i="40"/>
  <c r="G70" i="40" s="1"/>
  <c r="G84" i="40" s="1"/>
  <c r="E67" i="40"/>
  <c r="E68" i="40" s="1"/>
  <c r="E82" i="40" s="1"/>
  <c r="C59" i="40"/>
  <c r="D5" i="40"/>
  <c r="K60" i="39"/>
  <c r="L59" i="39"/>
  <c r="D38" i="20"/>
  <c r="U59" i="39"/>
  <c r="V60" i="39"/>
  <c r="V65" i="39" s="1"/>
  <c r="W59" i="39"/>
  <c r="H59" i="39"/>
  <c r="I60" i="39"/>
  <c r="H63" i="40"/>
  <c r="D67" i="40"/>
  <c r="K45" i="39"/>
  <c r="I45" i="39"/>
  <c r="V45" i="39"/>
  <c r="J46" i="39"/>
  <c r="G19" i="39"/>
  <c r="H20" i="39"/>
  <c r="E63" i="40"/>
  <c r="N13" i="16"/>
  <c r="H35" i="16"/>
  <c r="F67" i="40"/>
  <c r="K20" i="39"/>
  <c r="L19" i="39"/>
  <c r="F63" i="40"/>
  <c r="F64" i="40" s="1"/>
  <c r="U19" i="39"/>
  <c r="W19" i="39"/>
  <c r="V20" i="39"/>
  <c r="K85" i="39"/>
  <c r="I85" i="39"/>
  <c r="V85" i="39"/>
  <c r="J86" i="39"/>
  <c r="V72" i="39"/>
  <c r="I72" i="39"/>
  <c r="K72" i="39"/>
  <c r="E35" i="39"/>
  <c r="E34" i="39" s="1"/>
  <c r="Q36" i="39"/>
  <c r="E37" i="39"/>
  <c r="E38" i="39" s="1"/>
  <c r="H33" i="40" l="1"/>
  <c r="B75" i="41"/>
  <c r="G81" i="40"/>
  <c r="E38" i="2"/>
  <c r="G33" i="40"/>
  <c r="G74" i="40" s="1"/>
  <c r="G75" i="40" s="1"/>
  <c r="U32" i="39"/>
  <c r="T32" i="39" s="1"/>
  <c r="G32" i="39"/>
  <c r="F32" i="39" s="1"/>
  <c r="F33" i="39" s="1"/>
  <c r="V33" i="39"/>
  <c r="V38" i="39" s="1"/>
  <c r="F38" i="2"/>
  <c r="I38" i="2"/>
  <c r="H38" i="2"/>
  <c r="G38" i="2"/>
  <c r="G38" i="19"/>
  <c r="H38" i="19"/>
  <c r="B81" i="40"/>
  <c r="C81" i="40"/>
  <c r="V63" i="39"/>
  <c r="L32" i="39"/>
  <c r="L33" i="39" s="1"/>
  <c r="V62" i="39"/>
  <c r="V61" i="39"/>
  <c r="V64" i="39"/>
  <c r="G34" i="40"/>
  <c r="G77" i="40" s="1"/>
  <c r="G78" i="40" s="1"/>
  <c r="G71" i="40"/>
  <c r="G85" i="40" s="1"/>
  <c r="G38" i="30"/>
  <c r="E38" i="30"/>
  <c r="E38" i="16"/>
  <c r="E39" i="16"/>
  <c r="D38" i="30"/>
  <c r="H39" i="16"/>
  <c r="H38" i="16"/>
  <c r="F38" i="20"/>
  <c r="F38" i="16"/>
  <c r="F39" i="16"/>
  <c r="H38" i="30"/>
  <c r="D38" i="16"/>
  <c r="D39" i="16"/>
  <c r="I38" i="20"/>
  <c r="G38" i="20"/>
  <c r="G38" i="16"/>
  <c r="G39" i="16"/>
  <c r="F38" i="30"/>
  <c r="E38" i="20"/>
  <c r="H74" i="40"/>
  <c r="H75" i="40" s="1"/>
  <c r="G59" i="39"/>
  <c r="H60" i="39"/>
  <c r="M59" i="39"/>
  <c r="L60" i="39"/>
  <c r="H64" i="40"/>
  <c r="H81" i="40"/>
  <c r="W60" i="39"/>
  <c r="X59" i="39"/>
  <c r="U60" i="39"/>
  <c r="T59" i="39"/>
  <c r="D59" i="40"/>
  <c r="D7" i="40"/>
  <c r="I86" i="39"/>
  <c r="H85" i="39"/>
  <c r="V46" i="39"/>
  <c r="W45" i="39"/>
  <c r="U45" i="39"/>
  <c r="U72" i="39"/>
  <c r="W72" i="39"/>
  <c r="V73" i="39"/>
  <c r="F81" i="40"/>
  <c r="F68" i="40"/>
  <c r="F82" i="40" s="1"/>
  <c r="J89" i="39"/>
  <c r="J88" i="39"/>
  <c r="J91" i="39"/>
  <c r="J90" i="39"/>
  <c r="J87" i="39"/>
  <c r="G20" i="39"/>
  <c r="F19" i="39"/>
  <c r="F20" i="39" s="1"/>
  <c r="V21" i="39"/>
  <c r="V22" i="39"/>
  <c r="V24" i="39"/>
  <c r="V23" i="39"/>
  <c r="V25" i="39"/>
  <c r="K86" i="39"/>
  <c r="L85" i="39"/>
  <c r="U20" i="39"/>
  <c r="T19" i="39"/>
  <c r="E64" i="40"/>
  <c r="E81" i="40"/>
  <c r="H45" i="39"/>
  <c r="I46" i="39"/>
  <c r="K73" i="39"/>
  <c r="L72" i="39"/>
  <c r="X32" i="39"/>
  <c r="W33" i="39"/>
  <c r="F74" i="40"/>
  <c r="F75" i="40" s="1"/>
  <c r="E33" i="40"/>
  <c r="E74" i="40" s="1"/>
  <c r="E75" i="40" s="1"/>
  <c r="K46" i="39"/>
  <c r="L45" i="39"/>
  <c r="D68" i="40"/>
  <c r="D82" i="40" s="1"/>
  <c r="W85" i="39"/>
  <c r="V86" i="39"/>
  <c r="U85" i="39"/>
  <c r="Q37" i="39"/>
  <c r="Q38" i="39" s="1"/>
  <c r="Q35" i="39"/>
  <c r="Q34" i="39" s="1"/>
  <c r="I73" i="39"/>
  <c r="H72" i="39"/>
  <c r="M19" i="39"/>
  <c r="L20" i="39"/>
  <c r="X19" i="39"/>
  <c r="W20" i="39"/>
  <c r="F77" i="41" l="1"/>
  <c r="B77" i="41"/>
  <c r="C75" i="41" s="1"/>
  <c r="V36" i="39"/>
  <c r="V47" i="39"/>
  <c r="U33" i="39"/>
  <c r="U37" i="39" s="1"/>
  <c r="V51" i="39"/>
  <c r="V48" i="39"/>
  <c r="V49" i="39"/>
  <c r="G33" i="39"/>
  <c r="M32" i="39"/>
  <c r="M33" i="39" s="1"/>
  <c r="V50" i="39"/>
  <c r="V35" i="39"/>
  <c r="V34" i="39"/>
  <c r="V37" i="39"/>
  <c r="D38" i="19"/>
  <c r="D38" i="2"/>
  <c r="F38" i="19"/>
  <c r="D63" i="40"/>
  <c r="D8" i="40"/>
  <c r="M60" i="39"/>
  <c r="N59" i="39"/>
  <c r="N60" i="39" s="1"/>
  <c r="U65" i="39"/>
  <c r="U63" i="39"/>
  <c r="U64" i="39"/>
  <c r="U62" i="39"/>
  <c r="U61" i="39"/>
  <c r="W64" i="39"/>
  <c r="W62" i="39"/>
  <c r="W65" i="39"/>
  <c r="W61" i="39"/>
  <c r="W63" i="39"/>
  <c r="G60" i="39"/>
  <c r="F59" i="39"/>
  <c r="F60" i="39" s="1"/>
  <c r="S59" i="39"/>
  <c r="T60" i="39"/>
  <c r="Y59" i="39"/>
  <c r="X60" i="39"/>
  <c r="G45" i="39"/>
  <c r="H46" i="39"/>
  <c r="S19" i="39"/>
  <c r="T20" i="39"/>
  <c r="T45" i="39"/>
  <c r="U46" i="39"/>
  <c r="L86" i="39"/>
  <c r="M85" i="39"/>
  <c r="W51" i="39"/>
  <c r="W48" i="39"/>
  <c r="W36" i="39"/>
  <c r="W50" i="39"/>
  <c r="W38" i="39"/>
  <c r="W47" i="39"/>
  <c r="W49" i="39"/>
  <c r="W34" i="39"/>
  <c r="W35" i="39"/>
  <c r="W37" i="39"/>
  <c r="U24" i="39"/>
  <c r="U23" i="39"/>
  <c r="U25" i="39"/>
  <c r="U21" i="39"/>
  <c r="U22" i="39"/>
  <c r="W46" i="39"/>
  <c r="X45" i="39"/>
  <c r="V89" i="39"/>
  <c r="V90" i="39"/>
  <c r="V87" i="39"/>
  <c r="V88" i="39"/>
  <c r="V91" i="39"/>
  <c r="H86" i="39"/>
  <c r="G85" i="39"/>
  <c r="W25" i="39"/>
  <c r="W23" i="39"/>
  <c r="W24" i="39"/>
  <c r="W22" i="39"/>
  <c r="W21" i="39"/>
  <c r="X85" i="39"/>
  <c r="W86" i="39"/>
  <c r="Y32" i="39"/>
  <c r="X33" i="39"/>
  <c r="I89" i="39"/>
  <c r="I88" i="39"/>
  <c r="I91" i="39"/>
  <c r="I87" i="39"/>
  <c r="I90" i="39"/>
  <c r="N19" i="39"/>
  <c r="N20" i="39" s="1"/>
  <c r="M20" i="39"/>
  <c r="T33" i="39"/>
  <c r="S32" i="39"/>
  <c r="K91" i="39"/>
  <c r="K87" i="39"/>
  <c r="K88" i="39"/>
  <c r="K89" i="39"/>
  <c r="K90" i="39"/>
  <c r="Y19" i="39"/>
  <c r="X20" i="39"/>
  <c r="M72" i="39"/>
  <c r="L73" i="39"/>
  <c r="V76" i="39"/>
  <c r="V74" i="39"/>
  <c r="V75" i="39"/>
  <c r="V77" i="39"/>
  <c r="V78" i="39"/>
  <c r="T85" i="39"/>
  <c r="U86" i="39"/>
  <c r="H73" i="39"/>
  <c r="G72" i="39"/>
  <c r="X72" i="39"/>
  <c r="W73" i="39"/>
  <c r="M45" i="39"/>
  <c r="L46" i="39"/>
  <c r="U73" i="39"/>
  <c r="T72" i="39"/>
  <c r="C74" i="41" l="1"/>
  <c r="C73" i="41"/>
  <c r="F72" i="41"/>
  <c r="U47" i="39"/>
  <c r="U49" i="39"/>
  <c r="U35" i="39"/>
  <c r="U36" i="39"/>
  <c r="U38" i="39"/>
  <c r="U50" i="39"/>
  <c r="U34" i="39"/>
  <c r="U51" i="39"/>
  <c r="U48" i="39"/>
  <c r="N32" i="39"/>
  <c r="N33" i="39" s="1"/>
  <c r="T62" i="39"/>
  <c r="T61" i="39"/>
  <c r="T65" i="39"/>
  <c r="T64" i="39"/>
  <c r="T63" i="39"/>
  <c r="S60" i="39"/>
  <c r="R59" i="39"/>
  <c r="R60" i="39" s="1"/>
  <c r="D64" i="40"/>
  <c r="D81" i="40"/>
  <c r="X62" i="39"/>
  <c r="X61" i="39"/>
  <c r="X65" i="39"/>
  <c r="X63" i="39"/>
  <c r="X64" i="39"/>
  <c r="Z59" i="39"/>
  <c r="Z60" i="39" s="1"/>
  <c r="Y60" i="39"/>
  <c r="D33" i="40"/>
  <c r="D74" i="40" s="1"/>
  <c r="D75" i="40" s="1"/>
  <c r="W88" i="39"/>
  <c r="W91" i="39"/>
  <c r="W89" i="39"/>
  <c r="W87" i="39"/>
  <c r="W90" i="39"/>
  <c r="H90" i="39"/>
  <c r="H89" i="39"/>
  <c r="H87" i="39"/>
  <c r="H91" i="39"/>
  <c r="H88" i="39"/>
  <c r="R19" i="39"/>
  <c r="R20" i="39" s="1"/>
  <c r="S20" i="39"/>
  <c r="G73" i="39"/>
  <c r="F72" i="39"/>
  <c r="F73" i="39" s="1"/>
  <c r="Y85" i="39"/>
  <c r="X86" i="39"/>
  <c r="G46" i="39"/>
  <c r="F45" i="39"/>
  <c r="F46" i="39" s="1"/>
  <c r="M86" i="39"/>
  <c r="N85" i="39"/>
  <c r="N86" i="39" s="1"/>
  <c r="W74" i="39"/>
  <c r="W76" i="39"/>
  <c r="W75" i="39"/>
  <c r="W77" i="39"/>
  <c r="W78" i="39"/>
  <c r="T73" i="39"/>
  <c r="S72" i="39"/>
  <c r="Y72" i="39"/>
  <c r="X73" i="39"/>
  <c r="L90" i="39"/>
  <c r="L87" i="39"/>
  <c r="L91" i="39"/>
  <c r="L88" i="39"/>
  <c r="L89" i="39"/>
  <c r="U90" i="39"/>
  <c r="U88" i="39"/>
  <c r="U91" i="39"/>
  <c r="U87" i="39"/>
  <c r="U89" i="39"/>
  <c r="M73" i="39"/>
  <c r="N72" i="39"/>
  <c r="N73" i="39" s="1"/>
  <c r="R32" i="39"/>
  <c r="R33" i="39" s="1"/>
  <c r="S33" i="39"/>
  <c r="T86" i="39"/>
  <c r="S85" i="39"/>
  <c r="T51" i="39"/>
  <c r="T37" i="39"/>
  <c r="T36" i="39"/>
  <c r="T49" i="39"/>
  <c r="T34" i="39"/>
  <c r="T35" i="39"/>
  <c r="T50" i="39"/>
  <c r="T47" i="39"/>
  <c r="T38" i="39"/>
  <c r="T48" i="39"/>
  <c r="X48" i="39"/>
  <c r="X47" i="39"/>
  <c r="X37" i="39"/>
  <c r="X38" i="39"/>
  <c r="X49" i="39"/>
  <c r="X50" i="39"/>
  <c r="X35" i="39"/>
  <c r="X34" i="39"/>
  <c r="X36" i="39"/>
  <c r="X51" i="39"/>
  <c r="X46" i="39"/>
  <c r="Y45" i="39"/>
  <c r="S45" i="39"/>
  <c r="T46" i="39"/>
  <c r="U76" i="39"/>
  <c r="U78" i="39"/>
  <c r="U77" i="39"/>
  <c r="U75" i="39"/>
  <c r="U74" i="39"/>
  <c r="M46" i="39"/>
  <c r="N45" i="39"/>
  <c r="N46" i="39" s="1"/>
  <c r="X21" i="39"/>
  <c r="X22" i="39"/>
  <c r="X24" i="39"/>
  <c r="X25" i="39"/>
  <c r="X23" i="39"/>
  <c r="Z19" i="39"/>
  <c r="Z20" i="39" s="1"/>
  <c r="Y20" i="39"/>
  <c r="Y33" i="39"/>
  <c r="Z32" i="39"/>
  <c r="Z33" i="39" s="1"/>
  <c r="F85" i="39"/>
  <c r="F86" i="39" s="1"/>
  <c r="G86" i="39"/>
  <c r="T24" i="39"/>
  <c r="T23" i="39"/>
  <c r="T21" i="39"/>
  <c r="T25" i="39"/>
  <c r="T22" i="39"/>
  <c r="C77" i="41" l="1"/>
  <c r="F74" i="41" s="1"/>
  <c r="Y61" i="39"/>
  <c r="Y63" i="39"/>
  <c r="Y65" i="39"/>
  <c r="Y62" i="39"/>
  <c r="Y64" i="39"/>
  <c r="Z62" i="39"/>
  <c r="Z63" i="39"/>
  <c r="Z65" i="39"/>
  <c r="Z64" i="39"/>
  <c r="Z61" i="39"/>
  <c r="S64" i="39"/>
  <c r="S65" i="39"/>
  <c r="S61" i="39"/>
  <c r="S63" i="39"/>
  <c r="S62" i="39"/>
  <c r="R63" i="39"/>
  <c r="R64" i="39"/>
  <c r="R62" i="39"/>
  <c r="R65" i="39"/>
  <c r="R61" i="39"/>
  <c r="S47" i="39"/>
  <c r="S36" i="39"/>
  <c r="S50" i="39"/>
  <c r="S37" i="39"/>
  <c r="S35" i="39"/>
  <c r="S38" i="39"/>
  <c r="S48" i="39"/>
  <c r="S51" i="39"/>
  <c r="S49" i="39"/>
  <c r="S34" i="39"/>
  <c r="Y36" i="39"/>
  <c r="Y34" i="39"/>
  <c r="Y38" i="39"/>
  <c r="Y50" i="39"/>
  <c r="Y48" i="39"/>
  <c r="Y51" i="39"/>
  <c r="Y47" i="39"/>
  <c r="Y37" i="39"/>
  <c r="Y35" i="39"/>
  <c r="Y49" i="39"/>
  <c r="S73" i="39"/>
  <c r="R72" i="39"/>
  <c r="R73" i="39" s="1"/>
  <c r="M88" i="39"/>
  <c r="M91" i="39"/>
  <c r="M89" i="39"/>
  <c r="M87" i="39"/>
  <c r="M90" i="39"/>
  <c r="R23" i="39"/>
  <c r="R24" i="39"/>
  <c r="R25" i="39"/>
  <c r="R22" i="39"/>
  <c r="R21" i="39"/>
  <c r="S86" i="39"/>
  <c r="R85" i="39"/>
  <c r="R86" i="39" s="1"/>
  <c r="T77" i="39"/>
  <c r="T78" i="39"/>
  <c r="T75" i="39"/>
  <c r="T76" i="39"/>
  <c r="T74" i="39"/>
  <c r="T90" i="39"/>
  <c r="T87" i="39"/>
  <c r="T88" i="39"/>
  <c r="T89" i="39"/>
  <c r="T91" i="39"/>
  <c r="Y46" i="39"/>
  <c r="Z45" i="39"/>
  <c r="Z46" i="39" s="1"/>
  <c r="R38" i="39"/>
  <c r="R36" i="39"/>
  <c r="R47" i="39"/>
  <c r="R51" i="39"/>
  <c r="R49" i="39"/>
  <c r="R48" i="39"/>
  <c r="R34" i="39"/>
  <c r="R50" i="39"/>
  <c r="R37" i="39"/>
  <c r="R35" i="39"/>
  <c r="Y86" i="39"/>
  <c r="Z85" i="39"/>
  <c r="Z86" i="39" s="1"/>
  <c r="G88" i="39"/>
  <c r="G90" i="39"/>
  <c r="G91" i="39"/>
  <c r="G87" i="39"/>
  <c r="G89" i="39"/>
  <c r="F90" i="39"/>
  <c r="F87" i="39"/>
  <c r="F89" i="39"/>
  <c r="F91" i="39"/>
  <c r="F88" i="39"/>
  <c r="Y21" i="39"/>
  <c r="Y23" i="39"/>
  <c r="Y22" i="39"/>
  <c r="Y25" i="39"/>
  <c r="Y24" i="39"/>
  <c r="X77" i="39"/>
  <c r="X76" i="39"/>
  <c r="X74" i="39"/>
  <c r="X78" i="39"/>
  <c r="X75" i="39"/>
  <c r="S46" i="39"/>
  <c r="R45" i="39"/>
  <c r="R46" i="39" s="1"/>
  <c r="X87" i="39"/>
  <c r="X88" i="39"/>
  <c r="X89" i="39"/>
  <c r="X90" i="39"/>
  <c r="X91" i="39"/>
  <c r="Z49" i="39"/>
  <c r="Z47" i="39"/>
  <c r="Z50" i="39"/>
  <c r="Z38" i="39"/>
  <c r="Z36" i="39"/>
  <c r="Z48" i="39"/>
  <c r="Z37" i="39"/>
  <c r="Z35" i="39"/>
  <c r="Z51" i="39"/>
  <c r="Z34" i="39"/>
  <c r="Z25" i="39"/>
  <c r="Z23" i="39"/>
  <c r="Z24" i="39"/>
  <c r="Z22" i="39"/>
  <c r="Z21" i="39"/>
  <c r="Z72" i="39"/>
  <c r="Z73" i="39" s="1"/>
  <c r="Y73" i="39"/>
  <c r="N87" i="39"/>
  <c r="N90" i="39"/>
  <c r="N91" i="39"/>
  <c r="N88" i="39"/>
  <c r="N89" i="39"/>
  <c r="S25" i="39"/>
  <c r="S23" i="39"/>
  <c r="S21" i="39"/>
  <c r="S22" i="39"/>
  <c r="S24" i="39"/>
  <c r="S77" i="39" l="1"/>
  <c r="S74" i="39"/>
  <c r="S76" i="39"/>
  <c r="S75" i="39"/>
  <c r="S78" i="39"/>
  <c r="R77" i="39"/>
  <c r="R76" i="39"/>
  <c r="R75" i="39"/>
  <c r="R74" i="39"/>
  <c r="R78" i="39"/>
  <c r="R90" i="39"/>
  <c r="R89" i="39"/>
  <c r="R91" i="39"/>
  <c r="R88" i="39"/>
  <c r="R87" i="39"/>
  <c r="Y75" i="39"/>
  <c r="Y74" i="39"/>
  <c r="Y77" i="39"/>
  <c r="Y78" i="39"/>
  <c r="Y76" i="39"/>
  <c r="Z87" i="39"/>
  <c r="Z91" i="39"/>
  <c r="Z89" i="39"/>
  <c r="Z90" i="39"/>
  <c r="Z88" i="39"/>
  <c r="Z75" i="39"/>
  <c r="Z74" i="39"/>
  <c r="Z77" i="39"/>
  <c r="Z76" i="39"/>
  <c r="Z78" i="39"/>
  <c r="Y89" i="39"/>
  <c r="Y91" i="39"/>
  <c r="Y88" i="39"/>
  <c r="Y87" i="39"/>
  <c r="Y90" i="39"/>
  <c r="S87" i="39"/>
  <c r="S89" i="39"/>
  <c r="S88" i="39"/>
  <c r="S91" i="39"/>
  <c r="S90" i="39"/>
  <c r="B29" i="40" l="1"/>
  <c r="O9" i="2"/>
  <c r="B31" i="40" l="1"/>
  <c r="B34" i="40" s="1"/>
  <c r="B77" i="40" s="1"/>
  <c r="B78" i="40" s="1"/>
  <c r="B20" i="41"/>
  <c r="O9" i="20"/>
  <c r="C29" i="40"/>
  <c r="N9" i="19"/>
  <c r="O10" i="2"/>
  <c r="B19" i="39"/>
  <c r="B20" i="39" s="1"/>
  <c r="N9" i="30"/>
  <c r="B72" i="39"/>
  <c r="D31" i="40"/>
  <c r="O9" i="22"/>
  <c r="D39" i="2"/>
  <c r="H31" i="40"/>
  <c r="D47" i="34"/>
  <c r="B70" i="40" l="1"/>
  <c r="B71" i="40" s="1"/>
  <c r="B85" i="40" s="1"/>
  <c r="F23" i="41"/>
  <c r="B23" i="41"/>
  <c r="C31" i="40"/>
  <c r="C34" i="40" s="1"/>
  <c r="C77" i="40" s="1"/>
  <c r="C78" i="40" s="1"/>
  <c r="B4" i="41"/>
  <c r="E31" i="40"/>
  <c r="E70" i="40" s="1"/>
  <c r="B37" i="41"/>
  <c r="F31" i="40"/>
  <c r="F34" i="40" s="1"/>
  <c r="F77" i="40" s="1"/>
  <c r="F78" i="40" s="1"/>
  <c r="B54" i="41"/>
  <c r="D34" i="40"/>
  <c r="D77" i="40" s="1"/>
  <c r="D78" i="40" s="1"/>
  <c r="D70" i="40"/>
  <c r="D39" i="19"/>
  <c r="D35" i="19"/>
  <c r="D42" i="34"/>
  <c r="O11" i="2"/>
  <c r="O10" i="22"/>
  <c r="N10" i="30"/>
  <c r="E35" i="2"/>
  <c r="E39" i="2"/>
  <c r="D39" i="30"/>
  <c r="D35" i="30"/>
  <c r="O10" i="20"/>
  <c r="J25" i="39"/>
  <c r="L23" i="39"/>
  <c r="N24" i="39"/>
  <c r="N22" i="39"/>
  <c r="M23" i="39"/>
  <c r="F21" i="39"/>
  <c r="H22" i="39"/>
  <c r="M22" i="39"/>
  <c r="G23" i="39"/>
  <c r="F24" i="39"/>
  <c r="N21" i="39"/>
  <c r="H23" i="39"/>
  <c r="G22" i="39"/>
  <c r="N25" i="39"/>
  <c r="L22" i="39"/>
  <c r="I23" i="39"/>
  <c r="J21" i="39"/>
  <c r="K21" i="39"/>
  <c r="F25" i="39"/>
  <c r="K23" i="39"/>
  <c r="M21" i="39"/>
  <c r="M25" i="39"/>
  <c r="K22" i="39"/>
  <c r="J22" i="39"/>
  <c r="L24" i="39"/>
  <c r="J23" i="39"/>
  <c r="G25" i="39"/>
  <c r="L21" i="39"/>
  <c r="L25" i="39"/>
  <c r="M24" i="39"/>
  <c r="F22" i="39"/>
  <c r="H25" i="39"/>
  <c r="F23" i="39"/>
  <c r="I24" i="39"/>
  <c r="J24" i="39"/>
  <c r="H24" i="39"/>
  <c r="K24" i="39"/>
  <c r="G21" i="39"/>
  <c r="G24" i="39"/>
  <c r="I21" i="39"/>
  <c r="I25" i="39"/>
  <c r="N23" i="39"/>
  <c r="H21" i="39"/>
  <c r="K25" i="39"/>
  <c r="I22" i="39"/>
  <c r="H70" i="40"/>
  <c r="H34" i="40"/>
  <c r="H77" i="40" s="1"/>
  <c r="H78" i="40" s="1"/>
  <c r="D39" i="20"/>
  <c r="D35" i="22"/>
  <c r="N10" i="19"/>
  <c r="B84" i="40" l="1"/>
  <c r="C70" i="40"/>
  <c r="C71" i="40" s="1"/>
  <c r="C85" i="40" s="1"/>
  <c r="F70" i="40"/>
  <c r="F71" i="40" s="1"/>
  <c r="F85" i="40" s="1"/>
  <c r="E34" i="40"/>
  <c r="E77" i="40" s="1"/>
  <c r="E78" i="40" s="1"/>
  <c r="F18" i="41"/>
  <c r="B40" i="41"/>
  <c r="F40" i="41"/>
  <c r="F57" i="41"/>
  <c r="B57" i="41"/>
  <c r="C20" i="41"/>
  <c r="F7" i="41"/>
  <c r="B7" i="41"/>
  <c r="C4" i="41" s="1"/>
  <c r="C19" i="41"/>
  <c r="C21" i="41"/>
  <c r="N11" i="19"/>
  <c r="B45" i="39"/>
  <c r="B46" i="39" s="1"/>
  <c r="O11" i="22"/>
  <c r="E39" i="19"/>
  <c r="E35" i="19"/>
  <c r="H71" i="40"/>
  <c r="H85" i="40" s="1"/>
  <c r="H84" i="40"/>
  <c r="O11" i="20"/>
  <c r="B59" i="39"/>
  <c r="B60" i="39" s="1"/>
  <c r="F39" i="20"/>
  <c r="F35" i="2"/>
  <c r="F39" i="2"/>
  <c r="O12" i="2"/>
  <c r="N11" i="30"/>
  <c r="B73" i="39" s="1"/>
  <c r="J76" i="39" s="1"/>
  <c r="D84" i="40"/>
  <c r="D71" i="40"/>
  <c r="D85" i="40" s="1"/>
  <c r="E71" i="40"/>
  <c r="E85" i="40" s="1"/>
  <c r="E84" i="40"/>
  <c r="E35" i="30"/>
  <c r="E39" i="30"/>
  <c r="E39" i="20"/>
  <c r="E35" i="20"/>
  <c r="E35" i="22"/>
  <c r="E39" i="22"/>
  <c r="F52" i="41" l="1"/>
  <c r="F84" i="40"/>
  <c r="C23" i="41"/>
  <c r="F20" i="41" s="1"/>
  <c r="C84" i="40"/>
  <c r="F2" i="41"/>
  <c r="F35" i="41"/>
  <c r="C54" i="41"/>
  <c r="C55" i="41"/>
  <c r="C53" i="41"/>
  <c r="C37" i="41"/>
  <c r="C36" i="41"/>
  <c r="C38" i="41"/>
  <c r="C5" i="41"/>
  <c r="C3" i="41"/>
  <c r="J75" i="39"/>
  <c r="N74" i="39"/>
  <c r="L74" i="39"/>
  <c r="F77" i="39"/>
  <c r="H77" i="39"/>
  <c r="L77" i="39"/>
  <c r="G78" i="39"/>
  <c r="K77" i="39"/>
  <c r="H76" i="39"/>
  <c r="N76" i="39"/>
  <c r="I75" i="39"/>
  <c r="H78" i="39"/>
  <c r="F78" i="39"/>
  <c r="F76" i="39"/>
  <c r="J78" i="39"/>
  <c r="M75" i="39"/>
  <c r="G74" i="39"/>
  <c r="I74" i="39"/>
  <c r="H74" i="39"/>
  <c r="I77" i="39"/>
  <c r="I78" i="39"/>
  <c r="F75" i="39"/>
  <c r="M74" i="39"/>
  <c r="G77" i="39"/>
  <c r="G76" i="39"/>
  <c r="L75" i="39"/>
  <c r="L78" i="39"/>
  <c r="K76" i="39"/>
  <c r="N75" i="39"/>
  <c r="F74" i="39"/>
  <c r="N77" i="39"/>
  <c r="K74" i="39"/>
  <c r="J77" i="39"/>
  <c r="L76" i="39"/>
  <c r="N78" i="39"/>
  <c r="M76" i="39"/>
  <c r="M78" i="39"/>
  <c r="J74" i="39"/>
  <c r="M77" i="39"/>
  <c r="I76" i="39"/>
  <c r="H75" i="39"/>
  <c r="G75" i="39"/>
  <c r="K75" i="39"/>
  <c r="K78" i="39"/>
  <c r="F39" i="22"/>
  <c r="F35" i="22"/>
  <c r="H51" i="39"/>
  <c r="J48" i="39"/>
  <c r="F47" i="39"/>
  <c r="N49" i="39"/>
  <c r="K47" i="39"/>
  <c r="M48" i="39"/>
  <c r="J49" i="39"/>
  <c r="G50" i="39"/>
  <c r="G48" i="39"/>
  <c r="M50" i="39"/>
  <c r="I48" i="39"/>
  <c r="K51" i="39"/>
  <c r="N50" i="39"/>
  <c r="H49" i="39"/>
  <c r="F49" i="39"/>
  <c r="I50" i="39"/>
  <c r="J50" i="39"/>
  <c r="I51" i="39"/>
  <c r="G47" i="39"/>
  <c r="L51" i="39"/>
  <c r="G51" i="39"/>
  <c r="N48" i="39"/>
  <c r="H48" i="39"/>
  <c r="H50" i="39"/>
  <c r="G49" i="39"/>
  <c r="L47" i="39"/>
  <c r="J47" i="39"/>
  <c r="F48" i="39"/>
  <c r="K50" i="39"/>
  <c r="K49" i="39"/>
  <c r="L49" i="39"/>
  <c r="I49" i="39"/>
  <c r="L50" i="39"/>
  <c r="M51" i="39"/>
  <c r="N51" i="39"/>
  <c r="F50" i="39"/>
  <c r="K48" i="39"/>
  <c r="M49" i="39"/>
  <c r="F51" i="39"/>
  <c r="N47" i="39"/>
  <c r="I47" i="39"/>
  <c r="H47" i="39"/>
  <c r="M47" i="39"/>
  <c r="J51" i="39"/>
  <c r="L48" i="39"/>
  <c r="O12" i="22"/>
  <c r="F35" i="20"/>
  <c r="N12" i="19"/>
  <c r="B32" i="39"/>
  <c r="B33" i="39" s="1"/>
  <c r="F35" i="30"/>
  <c r="F39" i="30"/>
  <c r="G35" i="2"/>
  <c r="G39" i="2"/>
  <c r="O13" i="2"/>
  <c r="O12" i="20"/>
  <c r="N12" i="30"/>
  <c r="G64" i="39"/>
  <c r="K65" i="39"/>
  <c r="M64" i="39"/>
  <c r="M61" i="39"/>
  <c r="F61" i="39"/>
  <c r="F62" i="39"/>
  <c r="H63" i="39"/>
  <c r="L61" i="39"/>
  <c r="N63" i="39"/>
  <c r="M62" i="39"/>
  <c r="K61" i="39"/>
  <c r="I61" i="39"/>
  <c r="N62" i="39"/>
  <c r="G62" i="39"/>
  <c r="I64" i="39"/>
  <c r="K64" i="39"/>
  <c r="J62" i="39"/>
  <c r="I62" i="39"/>
  <c r="J65" i="39"/>
  <c r="H65" i="39"/>
  <c r="L63" i="39"/>
  <c r="J63" i="39"/>
  <c r="H61" i="39"/>
  <c r="J64" i="39"/>
  <c r="I65" i="39"/>
  <c r="N64" i="39"/>
  <c r="G65" i="39"/>
  <c r="L65" i="39"/>
  <c r="K63" i="39"/>
  <c r="H62" i="39"/>
  <c r="F65" i="39"/>
  <c r="I63" i="39"/>
  <c r="F64" i="39"/>
  <c r="N61" i="39"/>
  <c r="L64" i="39"/>
  <c r="M63" i="39"/>
  <c r="M65" i="39"/>
  <c r="G61" i="39"/>
  <c r="F63" i="39"/>
  <c r="G63" i="39"/>
  <c r="J61" i="39"/>
  <c r="N65" i="39"/>
  <c r="L62" i="39"/>
  <c r="H64" i="39"/>
  <c r="K62" i="39"/>
  <c r="F35" i="19"/>
  <c r="F39" i="19"/>
  <c r="C7" i="41" l="1"/>
  <c r="F4" i="41" s="1"/>
  <c r="C57" i="41"/>
  <c r="F54" i="41" s="1"/>
  <c r="C40" i="41"/>
  <c r="F37" i="41" s="1"/>
  <c r="N13" i="30"/>
  <c r="O13" i="20"/>
  <c r="G35" i="30"/>
  <c r="G39" i="30"/>
  <c r="G35" i="20"/>
  <c r="G39" i="20"/>
  <c r="H39" i="2"/>
  <c r="H35" i="2"/>
  <c r="O14" i="2"/>
  <c r="O13" i="22"/>
  <c r="J34" i="39"/>
  <c r="N34" i="39"/>
  <c r="H36" i="39"/>
  <c r="M35" i="39"/>
  <c r="G34" i="39"/>
  <c r="F36" i="39"/>
  <c r="M38" i="39"/>
  <c r="N35" i="39"/>
  <c r="K38" i="39"/>
  <c r="L36" i="39"/>
  <c r="N37" i="39"/>
  <c r="I35" i="39"/>
  <c r="J37" i="39"/>
  <c r="N38" i="39"/>
  <c r="L37" i="39"/>
  <c r="H37" i="39"/>
  <c r="N36" i="39"/>
  <c r="F37" i="39"/>
  <c r="H38" i="39"/>
  <c r="I34" i="39"/>
  <c r="G38" i="39"/>
  <c r="K34" i="39"/>
  <c r="M36" i="39"/>
  <c r="G35" i="39"/>
  <c r="J36" i="39"/>
  <c r="K35" i="39"/>
  <c r="I36" i="39"/>
  <c r="I37" i="39"/>
  <c r="K36" i="39"/>
  <c r="I38" i="39"/>
  <c r="L38" i="39"/>
  <c r="G37" i="39"/>
  <c r="J38" i="39"/>
  <c r="K37" i="39"/>
  <c r="H34" i="39"/>
  <c r="M37" i="39"/>
  <c r="L34" i="39"/>
  <c r="G36" i="39"/>
  <c r="F34" i="39"/>
  <c r="M34" i="39"/>
  <c r="J35" i="39"/>
  <c r="L35" i="39"/>
  <c r="H35" i="39"/>
  <c r="F35" i="39"/>
  <c r="F38" i="39"/>
  <c r="N13" i="19"/>
  <c r="G35" i="19"/>
  <c r="G39" i="19"/>
  <c r="G35" i="22"/>
  <c r="G39" i="22"/>
  <c r="O14" i="22" l="1"/>
  <c r="H39" i="20"/>
  <c r="H35" i="20"/>
  <c r="H39" i="19"/>
  <c r="H35" i="19"/>
  <c r="H39" i="22"/>
  <c r="H35" i="22"/>
  <c r="O14" i="20"/>
  <c r="I35" i="2"/>
  <c r="I39" i="2"/>
  <c r="H35" i="30"/>
  <c r="H39" i="30"/>
  <c r="I39" i="20" l="1"/>
  <c r="I35" i="20"/>
  <c r="I39" i="22"/>
  <c r="I35" i="22"/>
</calcChain>
</file>

<file path=xl/sharedStrings.xml><?xml version="1.0" encoding="utf-8"?>
<sst xmlns="http://schemas.openxmlformats.org/spreadsheetml/2006/main" count="521" uniqueCount="179">
  <si>
    <t xml:space="preserve">NWFS </t>
  </si>
  <si>
    <t>2026/27 season</t>
  </si>
  <si>
    <t>Datum opgedateer / Date updated</t>
  </si>
  <si>
    <t>Gewas</t>
  </si>
  <si>
    <t>SAFEX pryse (R/ton)</t>
  </si>
  <si>
    <t>Total deductions (R/ton)</t>
  </si>
  <si>
    <t>Mielies / Maize- Jul 27</t>
  </si>
  <si>
    <t>Sonneblom / Sunflower- Mei 27</t>
  </si>
  <si>
    <t>Sojabone / Soybeans- Mei 27</t>
  </si>
  <si>
    <t>Graansorghum / Grain sorghum</t>
  </si>
  <si>
    <t>Grondbone/ Groundnuts:  Keur/ Choice 1</t>
  </si>
  <si>
    <t xml:space="preserve">                    Keur/ Choice 2</t>
  </si>
  <si>
    <t xml:space="preserve">                    Diverse</t>
  </si>
  <si>
    <t xml:space="preserve">                    Pers (eet) / Crush (eat)</t>
  </si>
  <si>
    <t xml:space="preserve">                    Pers (olie) / Crush (oil)</t>
  </si>
  <si>
    <t xml:space="preserve">                    Hooi verkope / sales</t>
  </si>
  <si>
    <t>ROUNDUP READY MIELIES (Laer potensiaal) / ROUNDUP READY MAIZE (Lower potential)</t>
  </si>
  <si>
    <t>MIELIES: SENSITIWITEITSANALISE - TOTALE KOSTES ( DIREKTE KOSTE + VASTE KOSTE) R/ton</t>
  </si>
  <si>
    <t>MIELIES: SENSITIWITEITSANALISE - DIREKTE KOSTE R/ton</t>
  </si>
  <si>
    <t>Lopendekoste / Variable cost (R/ha)</t>
  </si>
  <si>
    <t>Huidig</t>
  </si>
  <si>
    <t>Oorhoofse koste / Overhead cost (R/ha)</t>
  </si>
  <si>
    <t>SAFEX prys / price(R/ton)</t>
  </si>
  <si>
    <t>Totale Koste / Total cost (R/ha)</t>
  </si>
  <si>
    <t>Produsenteprys/ Producer price</t>
  </si>
  <si>
    <t>Opbrengs / Yield (t/ha)</t>
  </si>
  <si>
    <t>Gemid Opbrengs / Average Yield (t/ha)</t>
  </si>
  <si>
    <t xml:space="preserve">Aftrekkings / Deductions </t>
  </si>
  <si>
    <t>Produsenteprys/ Producer price (R/ton)</t>
  </si>
  <si>
    <r>
      <t>ROUNDUP READY MIELIES (Ho</t>
    </r>
    <r>
      <rPr>
        <b/>
        <sz val="10"/>
        <rFont val="Calibri"/>
        <family val="2"/>
      </rPr>
      <t>ё</t>
    </r>
    <r>
      <rPr>
        <b/>
        <sz val="10"/>
        <rFont val="Arial"/>
        <family val="2"/>
      </rPr>
      <t>r potensiaal) / ROUNDUP READY MAIZE (Higher potential)</t>
    </r>
  </si>
  <si>
    <t>BT MIELIES / BT MAIZE</t>
  </si>
  <si>
    <t>SONNEBLOM / SUNFLOWER</t>
  </si>
  <si>
    <t>SONNEBLOM: SENSITIWITEITSANALISE - TOTALE KOSTES ( DIREKTE KOSTE + VASTE KOSTE) R/ton</t>
  </si>
  <si>
    <t>SONNEBLOM: SENSITIWITEITSANALISE - DIREKTE KOSTE R/ton</t>
  </si>
  <si>
    <t>SOJABONE / SOYBEANS</t>
  </si>
  <si>
    <t>SOJABONE: SENSITIWITEITSANALISE - TOTALE KOSTES ( DIREKTE KOSTE + VASTE KOSTE) R/ton</t>
  </si>
  <si>
    <t>SOJABONE: SENSITIWITEITSANALISE - DIREKTE KOSTE R/ton</t>
  </si>
  <si>
    <t>Huidige</t>
  </si>
  <si>
    <t>GRAANSORGHUM / GRAIN SORGHUM</t>
  </si>
  <si>
    <t>SORGHUM: SENSITIWITEITSANALISE - TOTALE KOSTES ( DIREKTE KOSTE + VASTE KOSTE) R/ton</t>
  </si>
  <si>
    <t>SORGHUM: SENSATIWITIETSANALISE - DIREKTE KOSTE R/ton</t>
  </si>
  <si>
    <t>Produsent prys raming vir droëland ROUND-UP READY MIELIES (lae potensiaal)  /               Producer price framework for dry land ROUND-UP READY MAIZE (low potential)</t>
  </si>
  <si>
    <t>PRODUKSIEJAAR   2026-27                     PRODUCTION YEAR 2026-27</t>
  </si>
  <si>
    <t>Huidige Produkprys op plaas vir beste graad / Current product price for the best grade (R/TON) (Safex min bemarkingskoste/marketing cost)</t>
  </si>
  <si>
    <t>Rand/ton</t>
  </si>
  <si>
    <t>Beplanningsopbrengs / Estimated yields (ton/ha)</t>
  </si>
  <si>
    <t>Bruto produksiewaarde / Gross production value (R/ha)</t>
  </si>
  <si>
    <t>RRLMielies</t>
  </si>
  <si>
    <t>Direk Toedeelbare veranderlike koste / Direct Allocated Variable costs (R/ha)</t>
  </si>
  <si>
    <t>Opbrengspeil</t>
  </si>
  <si>
    <t>Lopende koste</t>
  </si>
  <si>
    <t>Oorhoofse koste</t>
  </si>
  <si>
    <t>Saad / Seed</t>
  </si>
  <si>
    <t>Kunsmis / Fertiliser</t>
  </si>
  <si>
    <t>Kalk / Lime</t>
  </si>
  <si>
    <t>Brandstof / Fuel</t>
  </si>
  <si>
    <t>Reparasie / Reparation</t>
  </si>
  <si>
    <t>Onkruiddoders / Herbicide</t>
  </si>
  <si>
    <t>Plaagdoder / Pest control</t>
  </si>
  <si>
    <t>Insetversekering / Input insurance</t>
  </si>
  <si>
    <t>Graanprysverskansing / Grain hedging</t>
  </si>
  <si>
    <t>Kontrakstroop / Contract Harvesting</t>
  </si>
  <si>
    <t>Oesversekering / Harvest insurance</t>
  </si>
  <si>
    <t>Lugspuit / Aerial spray</t>
  </si>
  <si>
    <t>Losarbeid / Casual labour</t>
  </si>
  <si>
    <t>Droogkoste / Drying cost</t>
  </si>
  <si>
    <t>Oorlê land koste / overlay costs</t>
  </si>
  <si>
    <t>Produksiekrediet rente / Interest on production R/ha</t>
  </si>
  <si>
    <t>Totale Direk Toedeelbare veranderlike koste / Total Direct Allocated Variable Cost  (R/ha)</t>
  </si>
  <si>
    <t>Totale Oorhoofse koste / Total overhead cost R/ha</t>
  </si>
  <si>
    <t>Totale Koste per ha voor fisiese bemarking R/ha / Total cost per ha before marketing cost R/ha</t>
  </si>
  <si>
    <t>Totale koste per ton voor fisiese bemarking R/Ton / Total cost per ton before marketing cost R/Ton</t>
  </si>
  <si>
    <t>Totale bemarkingskoste / Total marketing cost R/ton</t>
  </si>
  <si>
    <t>Verwagte minimum Safex prys SONDER wins/ Expected minimum Safex price, WITHOUT profit</t>
  </si>
  <si>
    <t>Huidige Safex prys / Current Safex price</t>
  </si>
  <si>
    <t>BRUTO MARGE / GROSS MARGIN  (R/ha)</t>
  </si>
  <si>
    <t>NETTO MARGE / NETT MARGIN  (R/ha)</t>
  </si>
  <si>
    <t>guarantee and for which Grain SA accepts no liability. Any prices or levels contained herein are preliminary and indicative only and do not</t>
  </si>
  <si>
    <t>represent bids or offers. These indications are provided solely for your information and consideration.</t>
  </si>
  <si>
    <t xml:space="preserve">                                        Thank you to the Maize Trust for partially funding this project</t>
  </si>
  <si>
    <t>Produsent prys raming vir droëland ROUND-UP READY MIELIES (hoe potensiaal)  / Producer price framework for dry land ROUND-UP READY MAIZE (high potential)</t>
  </si>
  <si>
    <t>PRODUKSIEJAAR   2026-27   PRODUCTION YEAR 2026-27</t>
  </si>
  <si>
    <t>RRHMielies</t>
  </si>
  <si>
    <t>BTMielies</t>
  </si>
  <si>
    <t>PRODUKSIEJAAR   2026-27             PRODUCTION YEAR 2026-27</t>
  </si>
  <si>
    <t>Sonneblom</t>
  </si>
  <si>
    <t>PRODUKSIEJAAR   2026-27                   PRODUCTION YEAR 2026-27</t>
  </si>
  <si>
    <t>Sorghum</t>
  </si>
  <si>
    <t>PRODUKSIEJAAR   2026-27      PRODUCTION YEAR 2026-27</t>
  </si>
  <si>
    <t>Graadverdeling / Grade distribution</t>
  </si>
  <si>
    <t>Prys per graad / Price per grade (R/ton)</t>
  </si>
  <si>
    <t>%</t>
  </si>
  <si>
    <t>Keur / Choice 1</t>
  </si>
  <si>
    <t>Keur / Choice 2</t>
  </si>
  <si>
    <t>Diverse / Diverse</t>
  </si>
  <si>
    <t xml:space="preserve">Pers (eet) / Crush </t>
  </si>
  <si>
    <t>Pers (olie)</t>
  </si>
  <si>
    <t>Hooi verkope / sales</t>
  </si>
  <si>
    <t>Gemiddelde prys vir al die grade / Average price for all grades</t>
  </si>
  <si>
    <t>Verwagte minimum prys SONDER wins/ Expected minimum price, WITHOUT profit</t>
  </si>
  <si>
    <t>Huidige prys / Current price (keur)</t>
  </si>
  <si>
    <t>Gemiddelde prys vir al die grade / Average price for all the grades</t>
  </si>
  <si>
    <t>Produsent prys raming vir droëland SOJABONE vir die                                                                              Producer price framework for dry land SOYBEANS for the</t>
  </si>
  <si>
    <t>Sojabone</t>
  </si>
  <si>
    <t>Column1</t>
  </si>
  <si>
    <t>Column2</t>
  </si>
  <si>
    <t>Column3</t>
  </si>
  <si>
    <t>Column4</t>
  </si>
  <si>
    <t>Column5</t>
  </si>
  <si>
    <t>Column6</t>
  </si>
  <si>
    <t>Column7</t>
  </si>
  <si>
    <t xml:space="preserve">Crop </t>
  </si>
  <si>
    <t>Maize (lower yield)</t>
  </si>
  <si>
    <t>Maize (higher yield)</t>
  </si>
  <si>
    <t>Maize (Bt)</t>
  </si>
  <si>
    <t>Sunflower</t>
  </si>
  <si>
    <t>Soybean</t>
  </si>
  <si>
    <t>Grain Sorghum</t>
  </si>
  <si>
    <t>Groundnuts</t>
  </si>
  <si>
    <t>National 5-year average (2020/21-2024/25 production seasons)</t>
  </si>
  <si>
    <t xml:space="preserve">1) INCOME </t>
  </si>
  <si>
    <t>White Maize</t>
  </si>
  <si>
    <t>Yield target (ton/ha)</t>
  </si>
  <si>
    <t>Soybeans</t>
  </si>
  <si>
    <t xml:space="preserve">SAFEX: Estimated Price </t>
  </si>
  <si>
    <t>Sunflowers</t>
  </si>
  <si>
    <t xml:space="preserve">Deductions </t>
  </si>
  <si>
    <t>Net Farm Gate Price</t>
  </si>
  <si>
    <t>GROSS INCOME (R/ha)</t>
  </si>
  <si>
    <t xml:space="preserve">2) VARIABLE EXPENDITURES </t>
  </si>
  <si>
    <t>TOTAL VARIABLE EXPENDITURE (R/ha)</t>
  </si>
  <si>
    <t>TOTAL FIXED COST (R/ha)</t>
  </si>
  <si>
    <t>TOTAL COST (R/ha)</t>
  </si>
  <si>
    <t>3) GROSS MARGIN  (R/ha)</t>
  </si>
  <si>
    <t>4) NETT MARGIN  (R/ha)</t>
  </si>
  <si>
    <t xml:space="preserve">SUMMARY </t>
  </si>
  <si>
    <t>LGO (ton/ha)</t>
  </si>
  <si>
    <t>Net Farm Gate Price (R/ha)</t>
  </si>
  <si>
    <t>Net Farm Gate Price (R/ton)</t>
  </si>
  <si>
    <t xml:space="preserve">2) EXPENDITURES </t>
  </si>
  <si>
    <t>Total variable cost (R/ha)</t>
  </si>
  <si>
    <t>Total variable cost (R/ton)</t>
  </si>
  <si>
    <t>Total variable &amp; fixed expenditure (R/ha)</t>
  </si>
  <si>
    <t>Total variable &amp; fixed expenditure (R/ton)</t>
  </si>
  <si>
    <t>3) MARGIN</t>
  </si>
  <si>
    <t>Gross margin (R/ha)</t>
  </si>
  <si>
    <t>Gross margin (R/ton)</t>
  </si>
  <si>
    <t>Nett margin (R/ha)</t>
  </si>
  <si>
    <t>Net margin (R/ton)</t>
  </si>
  <si>
    <t>BREAK-EVEN &amp; PROFITABILITY (ONLY variable cost)</t>
  </si>
  <si>
    <t>Break-even yields (t/ha)</t>
  </si>
  <si>
    <t>Break-even Safex price (t/ha)</t>
  </si>
  <si>
    <t>BREAK-EVEN &amp; PROFITABILITY (variable &amp; fixed cost)</t>
  </si>
  <si>
    <t>Winsgewendheid: Mielies (Hoer opbrengs)</t>
  </si>
  <si>
    <t>Pointer</t>
  </si>
  <si>
    <t>Start</t>
  </si>
  <si>
    <t>% NM van tot</t>
  </si>
  <si>
    <t>Veranderlike koste</t>
  </si>
  <si>
    <t>Vaste koste</t>
  </si>
  <si>
    <t>End</t>
  </si>
  <si>
    <t>Totale inkomste</t>
  </si>
  <si>
    <t>Max</t>
  </si>
  <si>
    <t>Totaal</t>
  </si>
  <si>
    <t>Netto Marge</t>
  </si>
  <si>
    <t>Winsgewendheid: Mielies (Gemid opbrengs)</t>
  </si>
  <si>
    <t>Winsgewendheid: Sonneblom</t>
  </si>
  <si>
    <t>Winsgewendheid: Sojabone</t>
  </si>
  <si>
    <t>Winsgewendheid: Sorghum</t>
  </si>
  <si>
    <r>
      <t>Disclaimer:</t>
    </r>
    <r>
      <rPr>
        <sz val="11"/>
        <rFont val="Aptos"/>
        <family val="2"/>
      </rPr>
      <t xml:space="preserve"> The information herein has been obtained from various sources, the accuracy and/or completeness of which Grain SA does not</t>
    </r>
  </si>
  <si>
    <t>Produsent prys raming vir droëland Bt MIELIES  /  Producer price framework for dry land BT MAIZE</t>
  </si>
  <si>
    <t>Produsent prys raming vir droëland SONNEBLOM vir die / Producer price framework for dry land SUNFLOWER for the</t>
  </si>
  <si>
    <t>Produsent prys raming vir droëland GRONDBONE vir die /  Producer price framework for dry land GROUNDNUTS for the</t>
  </si>
  <si>
    <t>Produsent prys raming vir droëland GRAANSORGHUM vir die  / Producer price framework for dry land GRAIN SORGHUM for the</t>
  </si>
  <si>
    <r>
      <rPr>
        <b/>
        <sz val="11"/>
        <color indexed="30"/>
        <rFont val="Aptos"/>
        <family val="2"/>
      </rPr>
      <t>NORTH WEST FREE STATE</t>
    </r>
    <r>
      <rPr>
        <b/>
        <sz val="11"/>
        <color indexed="8"/>
        <rFont val="Aptos"/>
        <family val="2"/>
      </rPr>
      <t xml:space="preserve"> INCOME &amp; COST BUDGETS - SUMMER CROPS 2026/27 </t>
    </r>
  </si>
  <si>
    <r>
      <rPr>
        <b/>
        <sz val="11"/>
        <color indexed="8"/>
        <rFont val="Aptos"/>
        <family val="2"/>
      </rPr>
      <t>Disclaimer:</t>
    </r>
    <r>
      <rPr>
        <b/>
        <sz val="11"/>
        <rFont val="Aptos"/>
        <family val="2"/>
      </rPr>
      <t xml:space="preserve"> The information herein has been obtained from various sources, the accuracy and/or completeness of which Grain SA does not guarantee and for which Grain SA accepts no liability. Any prices or levels contained herein are preliminary and indicative only and do not represent bids or offers. These indications are provided solely for your information and consideration.</t>
    </r>
  </si>
  <si>
    <t>SAFEX Mei'27 Soy prys/price  (R/ton)</t>
  </si>
  <si>
    <t>SAFEX Jul'27 WM 1 prys/price  (R/ton)</t>
  </si>
  <si>
    <t>SAFEX Mar'27 prys/price  (R/ton)</t>
  </si>
  <si>
    <t>Contract prys/price  (R/ton)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</si>
</sst>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43" formatCode="_-* #,##0.00_-;\-* #,##0.00_-;_-* &quot;-&quot;??_-;_-@_-"/>
    <numFmt numFmtId="164" formatCode="_(&quot;$&quot;* #,##0.00_);_(&quot;$&quot;* \(#,##0.00\);_(&quot;$&quot;* &quot;-&quot;??_);_(@_)"/>
    <numFmt numFmtId="165" formatCode="_(* #,##0.00_);_(* \(#,##0.00\);_(* &quot;-&quot;??_);_(@_)"/>
    <numFmt numFmtId="166" formatCode="_ &quot;R&quot;\ * #,##0.00_ ;_ &quot;R&quot;\ * \-#,##0.00_ ;_ &quot;R&quot;\ * &quot;-&quot;??_ ;_ @_ "/>
    <numFmt numFmtId="167" formatCode="_ * #,##0.00_ ;_ * \-#,##0.00_ ;_ * &quot;-&quot;??_ ;_ @_ "/>
    <numFmt numFmtId="168" formatCode="0.00_)"/>
    <numFmt numFmtId="169" formatCode="0_)"/>
    <numFmt numFmtId="170" formatCode="0.0"/>
    <numFmt numFmtId="171" formatCode="_ * #,##0.0_ ;_ * \-#,##0.0_ ;_ * &quot;-&quot;?_ ;_ @_ "/>
    <numFmt numFmtId="172" formatCode="_ * #,##0_ ;_ * \-#,##0_ ;_ * &quot;-&quot;??_ ;_ @_ "/>
    <numFmt numFmtId="173" formatCode="_ * #,##0.00_ ;_ * \-#,##0.00_ ;_ * &quot;-&quot;?_ ;_ @_ "/>
    <numFmt numFmtId="174" formatCode="&quot;R&quot;\ #,##0.00"/>
    <numFmt numFmtId="175" formatCode="&quot;R&quot;\ #,##0"/>
    <numFmt numFmtId="176" formatCode="_ [$R-1C09]\ * #,##0.00_ ;_ [$R-1C09]\ * \-#,##0.00_ ;_ [$R-1C09]\ * &quot;-&quot;??_ ;_ @_ "/>
    <numFmt numFmtId="177" formatCode="&quot;R&quot;#,##0.00"/>
    <numFmt numFmtId="179" formatCode="&quot;R&quot;#,##0"/>
    <numFmt numFmtId="180" formatCode="_-&quot;R&quot;* #,##0_-;\-&quot;R&quot;* #,##0_-;_-&quot;R&quot;* &quot;-&quot;??_-;_-@_-"/>
    <numFmt numFmtId="181" formatCode="_ [$R-1C09]\ * #,##0_ ;_ [$R-1C09]\ * \-#,##0_ ;_ [$R-1C09]\ * &quot;-&quot;??_ ;_ @_ "/>
  </numFmts>
  <fonts count="35" x14ac:knownFonts="1">
    <font>
      <sz val="10"/>
      <name val="Arial"/>
    </font>
    <font>
      <sz val="11"/>
      <color theme="1"/>
      <name val="Calibri"/>
      <family val="2"/>
      <scheme val="minor"/>
    </font>
    <font>
      <b/>
      <sz val="10"/>
      <name val="Arial"/>
      <family val="2"/>
    </font>
    <font>
      <sz val="10"/>
      <name val="Arial"/>
      <family val="2"/>
    </font>
    <font>
      <b/>
      <sz val="10"/>
      <color indexed="10"/>
      <name val="Arial"/>
      <family val="2"/>
    </font>
    <font>
      <u/>
      <sz val="10"/>
      <color indexed="12"/>
      <name val="Courier"/>
      <family val="3"/>
    </font>
    <font>
      <b/>
      <sz val="12"/>
      <name val="Arial"/>
      <family val="2"/>
    </font>
    <font>
      <sz val="10"/>
      <name val="Arial"/>
      <family val="2"/>
    </font>
    <font>
      <sz val="10"/>
      <name val="Arial"/>
      <family val="2"/>
    </font>
    <font>
      <sz val="8"/>
      <name val="Arial"/>
      <family val="2"/>
    </font>
    <font>
      <sz val="10"/>
      <name val="Segoe UI"/>
      <family val="2"/>
    </font>
    <font>
      <sz val="11"/>
      <color indexed="8"/>
      <name val="Calibri"/>
      <family val="2"/>
    </font>
    <font>
      <sz val="10"/>
      <name val="Arial"/>
      <family val="2"/>
    </font>
    <font>
      <sz val="10"/>
      <name val="Arial Black"/>
      <family val="2"/>
    </font>
    <font>
      <u/>
      <sz val="7.5"/>
      <color indexed="12"/>
      <name val="Arial"/>
      <family val="2"/>
    </font>
    <font>
      <b/>
      <sz val="10"/>
      <name val="Calibri"/>
      <family val="2"/>
    </font>
    <font>
      <sz val="11"/>
      <color indexed="8"/>
      <name val="Calibri"/>
      <family val="2"/>
    </font>
    <font>
      <b/>
      <sz val="11"/>
      <color indexed="8"/>
      <name val="Calibri"/>
      <family val="2"/>
    </font>
    <font>
      <b/>
      <sz val="18"/>
      <color indexed="17"/>
      <name val="Arial"/>
      <family val="2"/>
    </font>
    <font>
      <b/>
      <sz val="10"/>
      <color indexed="8"/>
      <name val="Arial"/>
      <family val="2"/>
    </font>
    <font>
      <b/>
      <sz val="11"/>
      <color indexed="10"/>
      <name val="Calibri"/>
      <family val="2"/>
    </font>
    <font>
      <sz val="11"/>
      <name val="Times New Roman"/>
      <family val="1"/>
    </font>
    <font>
      <sz val="11"/>
      <color theme="1"/>
      <name val="Calibri"/>
      <family val="2"/>
      <scheme val="minor"/>
    </font>
    <font>
      <sz val="10"/>
      <color theme="1"/>
      <name val="Arial"/>
      <family val="2"/>
    </font>
    <font>
      <sz val="10"/>
      <name val="Arial"/>
      <family val="2"/>
    </font>
    <font>
      <b/>
      <sz val="11"/>
      <color theme="0"/>
      <name val="Aptos"/>
      <family val="2"/>
    </font>
    <font>
      <sz val="11"/>
      <color indexed="10"/>
      <name val="Aptos"/>
      <family val="2"/>
    </font>
    <font>
      <b/>
      <sz val="11"/>
      <color indexed="8"/>
      <name val="Aptos"/>
      <family val="2"/>
    </font>
    <font>
      <b/>
      <sz val="11"/>
      <name val="Aptos"/>
      <family val="2"/>
    </font>
    <font>
      <sz val="11"/>
      <name val="Aptos"/>
      <family val="2"/>
    </font>
    <font>
      <sz val="11"/>
      <color theme="0"/>
      <name val="Aptos"/>
      <family val="2"/>
    </font>
    <font>
      <b/>
      <sz val="11"/>
      <color indexed="10"/>
      <name val="Aptos"/>
      <family val="2"/>
    </font>
    <font>
      <b/>
      <sz val="11"/>
      <color indexed="30"/>
      <name val="Aptos"/>
      <family val="2"/>
    </font>
    <font>
      <sz val="11"/>
      <color theme="1"/>
      <name val="Aptos"/>
      <family val="2"/>
    </font>
    <font>
      <b/>
      <sz val="11"/>
      <color theme="1"/>
      <name val="Aptos"/>
      <family val="2"/>
    </font>
  </fonts>
  <fills count="11">
    <fill>
      <patternFill patternType="none"/>
    </fill>
    <fill>
      <patternFill patternType="gray125"/>
    </fill>
    <fill>
      <patternFill patternType="solid">
        <fgColor indexed="9"/>
        <bgColor indexed="64"/>
      </patternFill>
    </fill>
    <fill>
      <patternFill patternType="solid">
        <fgColor indexed="45"/>
        <bgColor indexed="64"/>
      </patternFill>
    </fill>
    <fill>
      <patternFill patternType="solid">
        <fgColor indexed="40"/>
        <bgColor indexed="64"/>
      </patternFill>
    </fill>
    <fill>
      <patternFill patternType="solid">
        <fgColor indexed="9"/>
        <bgColor indexed="9"/>
      </patternFill>
    </fill>
    <fill>
      <patternFill patternType="solid">
        <fgColor indexed="22"/>
        <bgColor indexed="9"/>
      </patternFill>
    </fill>
    <fill>
      <patternFill patternType="solid">
        <fgColor theme="0"/>
        <bgColor indexed="64"/>
      </patternFill>
    </fill>
    <fill>
      <patternFill patternType="solid">
        <fgColor rgb="FF3A6367"/>
        <bgColor indexed="64"/>
      </patternFill>
    </fill>
    <fill>
      <patternFill patternType="solid">
        <fgColor rgb="FFAD9244"/>
        <bgColor indexed="64"/>
      </patternFill>
    </fill>
    <fill>
      <patternFill patternType="solid">
        <fgColor theme="4" tint="-0.249977111117893"/>
        <bgColor indexed="64"/>
      </patternFill>
    </fill>
  </fills>
  <borders count="55">
    <border>
      <left/>
      <right/>
      <top/>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top/>
      <bottom style="double">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double">
        <color indexed="64"/>
      </top>
      <bottom style="double">
        <color indexed="64"/>
      </bottom>
      <diagonal/>
    </border>
    <border>
      <left/>
      <right/>
      <top style="thin">
        <color indexed="64"/>
      </top>
      <bottom style="double">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double">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s>
  <cellStyleXfs count="116">
    <xf numFmtId="0" fontId="0" fillId="0" borderId="0"/>
    <xf numFmtId="167" fontId="3" fillId="0" borderId="0" applyFont="0" applyFill="0" applyBorder="0" applyAlignment="0" applyProtection="0"/>
    <xf numFmtId="167"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6" fillId="0" borderId="0" applyFont="0" applyFill="0" applyBorder="0" applyAlignment="0" applyProtection="0"/>
    <xf numFmtId="167" fontId="11" fillId="0" borderId="0" applyFont="0" applyFill="0" applyBorder="0" applyAlignment="0" applyProtection="0"/>
    <xf numFmtId="43" fontId="16" fillId="0" borderId="0" applyFont="0" applyFill="0" applyBorder="0" applyAlignment="0" applyProtection="0"/>
    <xf numFmtId="43" fontId="11" fillId="0" borderId="0" applyFont="0" applyFill="0" applyBorder="0" applyAlignment="0" applyProtection="0"/>
    <xf numFmtId="164" fontId="3" fillId="0" borderId="0" applyFont="0" applyFill="0" applyBorder="0" applyAlignment="0" applyProtection="0"/>
    <xf numFmtId="166" fontId="16" fillId="0" borderId="0" applyFont="0" applyFill="0" applyBorder="0" applyAlignment="0" applyProtection="0"/>
    <xf numFmtId="166" fontId="11" fillId="0" borderId="0" applyFon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3" fillId="0" borderId="0"/>
    <xf numFmtId="0" fontId="9" fillId="0" borderId="0"/>
    <xf numFmtId="0" fontId="9" fillId="0" borderId="0"/>
    <xf numFmtId="0" fontId="9" fillId="0" borderId="0"/>
    <xf numFmtId="0" fontId="3" fillId="0" borderId="0"/>
    <xf numFmtId="0" fontId="3" fillId="0" borderId="0"/>
    <xf numFmtId="0" fontId="10" fillId="0" borderId="0"/>
    <xf numFmtId="0" fontId="9" fillId="0" borderId="0"/>
    <xf numFmtId="0" fontId="23" fillId="0" borderId="0"/>
    <xf numFmtId="0" fontId="23" fillId="0" borderId="0"/>
    <xf numFmtId="0" fontId="3" fillId="0" borderId="0"/>
    <xf numFmtId="0" fontId="23" fillId="0" borderId="0"/>
    <xf numFmtId="0" fontId="23" fillId="0" borderId="0"/>
    <xf numFmtId="0" fontId="21" fillId="0" borderId="0"/>
    <xf numFmtId="0" fontId="3" fillId="0" borderId="0"/>
    <xf numFmtId="0" fontId="3" fillId="0" borderId="0"/>
    <xf numFmtId="0" fontId="22" fillId="0" borderId="0"/>
    <xf numFmtId="0" fontId="23" fillId="0" borderId="0"/>
    <xf numFmtId="0" fontId="23" fillId="0" borderId="0"/>
    <xf numFmtId="0" fontId="3" fillId="0" borderId="0"/>
    <xf numFmtId="0" fontId="23" fillId="0" borderId="0"/>
    <xf numFmtId="0" fontId="23" fillId="0" borderId="0"/>
    <xf numFmtId="0" fontId="3" fillId="0" borderId="0"/>
    <xf numFmtId="0" fontId="23" fillId="0" borderId="0"/>
    <xf numFmtId="0" fontId="23" fillId="0" borderId="0"/>
    <xf numFmtId="0" fontId="22" fillId="0" borderId="0"/>
    <xf numFmtId="0" fontId="9" fillId="0" borderId="0"/>
    <xf numFmtId="0" fontId="9" fillId="0" borderId="0"/>
    <xf numFmtId="0" fontId="22" fillId="0" borderId="0"/>
    <xf numFmtId="0" fontId="3" fillId="0" borderId="0"/>
    <xf numFmtId="0" fontId="9" fillId="0" borderId="0"/>
    <xf numFmtId="0" fontId="9" fillId="0" borderId="0"/>
    <xf numFmtId="0" fontId="10"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6"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6"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 fillId="0" borderId="0"/>
    <xf numFmtId="9" fontId="24" fillId="0" borderId="0" applyFont="0" applyFill="0" applyBorder="0" applyAlignment="0" applyProtection="0"/>
  </cellStyleXfs>
  <cellXfs count="458">
    <xf numFmtId="0" fontId="0" fillId="0" borderId="0" xfId="0"/>
    <xf numFmtId="0" fontId="3" fillId="0" borderId="0" xfId="64"/>
    <xf numFmtId="0" fontId="6" fillId="0" borderId="0" xfId="64" applyFont="1"/>
    <xf numFmtId="0" fontId="3" fillId="0" borderId="10" xfId="64" applyBorder="1" applyAlignment="1">
      <alignment horizontal="center" vertical="center" wrapText="1"/>
    </xf>
    <xf numFmtId="0" fontId="3" fillId="0" borderId="1" xfId="64" applyBorder="1" applyAlignment="1">
      <alignment horizontal="center" vertical="center" wrapText="1"/>
    </xf>
    <xf numFmtId="0" fontId="19" fillId="2" borderId="4" xfId="64" applyFont="1" applyFill="1" applyBorder="1" applyAlignment="1">
      <alignment horizontal="center" vertical="center"/>
    </xf>
    <xf numFmtId="0" fontId="2" fillId="2" borderId="4" xfId="64" applyFont="1" applyFill="1" applyBorder="1" applyAlignment="1">
      <alignment horizontal="center" vertical="center"/>
    </xf>
    <xf numFmtId="0" fontId="2" fillId="0" borderId="20" xfId="64" applyFont="1" applyBorder="1" applyAlignment="1">
      <alignment horizontal="center" vertical="center"/>
    </xf>
    <xf numFmtId="170" fontId="2" fillId="0" borderId="10" xfId="64" applyNumberFormat="1" applyFont="1" applyBorder="1" applyAlignment="1">
      <alignment horizontal="center" vertical="center"/>
    </xf>
    <xf numFmtId="1" fontId="2" fillId="3" borderId="21" xfId="64" applyNumberFormat="1" applyFont="1" applyFill="1" applyBorder="1" applyAlignment="1">
      <alignment horizontal="center" vertical="center"/>
    </xf>
    <xf numFmtId="1" fontId="2" fillId="3" borderId="22" xfId="64" applyNumberFormat="1" applyFont="1" applyFill="1" applyBorder="1" applyAlignment="1">
      <alignment horizontal="center" vertical="center"/>
    </xf>
    <xf numFmtId="1" fontId="2" fillId="4" borderId="22" xfId="64" applyNumberFormat="1" applyFont="1" applyFill="1" applyBorder="1" applyAlignment="1">
      <alignment horizontal="center" vertical="center"/>
    </xf>
    <xf numFmtId="1" fontId="2" fillId="4" borderId="23" xfId="64" applyNumberFormat="1" applyFont="1" applyFill="1" applyBorder="1" applyAlignment="1">
      <alignment horizontal="center" vertical="center"/>
    </xf>
    <xf numFmtId="1" fontId="2" fillId="3" borderId="24" xfId="64" applyNumberFormat="1" applyFont="1" applyFill="1" applyBorder="1" applyAlignment="1">
      <alignment horizontal="center" vertical="center"/>
    </xf>
    <xf numFmtId="1" fontId="2" fillId="3" borderId="25" xfId="64" applyNumberFormat="1" applyFont="1" applyFill="1" applyBorder="1" applyAlignment="1">
      <alignment horizontal="center" vertical="center"/>
    </xf>
    <xf numFmtId="1" fontId="2" fillId="4" borderId="25" xfId="64" applyNumberFormat="1" applyFont="1" applyFill="1" applyBorder="1" applyAlignment="1">
      <alignment horizontal="center" vertical="center"/>
    </xf>
    <xf numFmtId="1" fontId="2" fillId="4" borderId="26" xfId="64" applyNumberFormat="1" applyFont="1" applyFill="1" applyBorder="1" applyAlignment="1">
      <alignment horizontal="center" vertical="center"/>
    </xf>
    <xf numFmtId="1" fontId="2" fillId="3" borderId="27" xfId="64" applyNumberFormat="1" applyFont="1" applyFill="1" applyBorder="1" applyAlignment="1">
      <alignment horizontal="center" vertical="center"/>
    </xf>
    <xf numFmtId="1" fontId="2" fillId="3" borderId="28" xfId="64" applyNumberFormat="1" applyFont="1" applyFill="1" applyBorder="1" applyAlignment="1">
      <alignment horizontal="center" vertical="center"/>
    </xf>
    <xf numFmtId="1" fontId="2" fillId="4" borderId="28" xfId="64" applyNumberFormat="1" applyFont="1" applyFill="1" applyBorder="1" applyAlignment="1">
      <alignment horizontal="center" vertical="center"/>
    </xf>
    <xf numFmtId="1" fontId="2" fillId="4" borderId="29" xfId="64" applyNumberFormat="1" applyFont="1" applyFill="1" applyBorder="1" applyAlignment="1">
      <alignment horizontal="center" vertical="center"/>
    </xf>
    <xf numFmtId="0" fontId="13" fillId="0" borderId="0" xfId="64" applyFont="1" applyAlignment="1">
      <alignment horizontal="center" vertical="center" textRotation="90" wrapText="1"/>
    </xf>
    <xf numFmtId="170" fontId="13" fillId="0" borderId="0" xfId="64" applyNumberFormat="1" applyFont="1" applyAlignment="1">
      <alignment horizontal="center" vertical="center"/>
    </xf>
    <xf numFmtId="1" fontId="13" fillId="0" borderId="0" xfId="64" applyNumberFormat="1" applyFont="1" applyAlignment="1">
      <alignment horizontal="center" vertical="center"/>
    </xf>
    <xf numFmtId="172" fontId="2" fillId="2" borderId="4" xfId="64" applyNumberFormat="1" applyFont="1" applyFill="1" applyBorder="1" applyAlignment="1">
      <alignment horizontal="center" vertical="center"/>
    </xf>
    <xf numFmtId="172" fontId="19" fillId="2" borderId="4" xfId="64" applyNumberFormat="1" applyFont="1" applyFill="1" applyBorder="1" applyAlignment="1">
      <alignment horizontal="center" vertical="center"/>
    </xf>
    <xf numFmtId="172" fontId="19" fillId="0" borderId="20" xfId="64" applyNumberFormat="1" applyFont="1" applyBorder="1" applyAlignment="1">
      <alignment horizontal="center" vertical="center"/>
    </xf>
    <xf numFmtId="172" fontId="2" fillId="0" borderId="20" xfId="64" applyNumberFormat="1" applyFont="1" applyBorder="1" applyAlignment="1">
      <alignment horizontal="center" vertical="center"/>
    </xf>
    <xf numFmtId="0" fontId="3" fillId="7" borderId="0" xfId="64" applyFill="1"/>
    <xf numFmtId="0" fontId="6" fillId="7" borderId="0" xfId="64" applyFont="1" applyFill="1"/>
    <xf numFmtId="0" fontId="17" fillId="7" borderId="0" xfId="0" applyFont="1" applyFill="1"/>
    <xf numFmtId="175" fontId="17" fillId="7" borderId="0" xfId="0" applyNumberFormat="1" applyFont="1" applyFill="1" applyAlignment="1">
      <alignment horizontal="center"/>
    </xf>
    <xf numFmtId="0" fontId="18" fillId="7" borderId="0" xfId="64" applyFont="1" applyFill="1"/>
    <xf numFmtId="0" fontId="2" fillId="7" borderId="0" xfId="64" applyFont="1" applyFill="1" applyAlignment="1">
      <alignment horizontal="center" vertical="center"/>
    </xf>
    <xf numFmtId="0" fontId="3" fillId="7" borderId="0" xfId="35" applyFill="1"/>
    <xf numFmtId="15" fontId="3" fillId="7" borderId="0" xfId="35" applyNumberFormat="1" applyFill="1"/>
    <xf numFmtId="175" fontId="20" fillId="7" borderId="0" xfId="30" applyNumberFormat="1" applyFont="1" applyFill="1" applyAlignment="1" applyProtection="1">
      <alignment horizontal="center"/>
      <protection locked="0"/>
    </xf>
    <xf numFmtId="0" fontId="3" fillId="7" borderId="0" xfId="64" applyFill="1" applyProtection="1">
      <protection locked="0"/>
    </xf>
    <xf numFmtId="175" fontId="20" fillId="7" borderId="0" xfId="35" applyNumberFormat="1" applyFont="1" applyFill="1" applyAlignment="1" applyProtection="1">
      <alignment horizontal="center"/>
      <protection locked="0"/>
    </xf>
    <xf numFmtId="0" fontId="11" fillId="7" borderId="0" xfId="0" applyFont="1" applyFill="1"/>
    <xf numFmtId="14" fontId="2" fillId="7" borderId="0" xfId="64" applyNumberFormat="1" applyFont="1" applyFill="1"/>
    <xf numFmtId="167" fontId="3" fillId="7" borderId="0" xfId="64" applyNumberFormat="1" applyFill="1" applyAlignment="1">
      <alignment horizontal="center"/>
    </xf>
    <xf numFmtId="167" fontId="2" fillId="7" borderId="0" xfId="64" applyNumberFormat="1" applyFont="1" applyFill="1" applyAlignment="1">
      <alignment horizontal="center"/>
    </xf>
    <xf numFmtId="0" fontId="2" fillId="7" borderId="0" xfId="64" applyFont="1" applyFill="1" applyAlignment="1">
      <alignment horizontal="left" vertical="center" wrapText="1"/>
    </xf>
    <xf numFmtId="167" fontId="3" fillId="7" borderId="0" xfId="64" applyNumberFormat="1" applyFill="1" applyAlignment="1">
      <alignment horizontal="center" vertical="center"/>
    </xf>
    <xf numFmtId="0" fontId="3" fillId="7" borderId="0" xfId="64" applyFill="1" applyAlignment="1">
      <alignment horizontal="center" vertical="center"/>
    </xf>
    <xf numFmtId="2" fontId="3" fillId="7" borderId="0" xfId="64" applyNumberFormat="1" applyFill="1" applyAlignment="1">
      <alignment horizontal="center" vertical="center"/>
    </xf>
    <xf numFmtId="167" fontId="3" fillId="7" borderId="0" xfId="64" applyNumberFormat="1" applyFill="1" applyAlignment="1">
      <alignment horizontal="center" vertical="center" wrapText="1"/>
    </xf>
    <xf numFmtId="0" fontId="3" fillId="7" borderId="0" xfId="64" applyFill="1" applyAlignment="1">
      <alignment horizontal="left" vertical="center"/>
    </xf>
    <xf numFmtId="0" fontId="2" fillId="7" borderId="0" xfId="64" applyFont="1" applyFill="1" applyAlignment="1">
      <alignment horizontal="left" vertical="center"/>
    </xf>
    <xf numFmtId="0" fontId="3" fillId="7" borderId="0" xfId="64" applyFill="1" applyAlignment="1">
      <alignment horizontal="left" vertical="center" wrapText="1"/>
    </xf>
    <xf numFmtId="0" fontId="17" fillId="7" borderId="32" xfId="0" applyFont="1" applyFill="1" applyBorder="1"/>
    <xf numFmtId="0" fontId="17" fillId="7" borderId="32" xfId="0" applyFont="1" applyFill="1" applyBorder="1" applyAlignment="1">
      <alignment horizontal="center" wrapText="1"/>
    </xf>
    <xf numFmtId="0" fontId="17" fillId="7" borderId="32" xfId="35" applyFont="1" applyFill="1" applyBorder="1" applyAlignment="1">
      <alignment horizontal="center" wrapText="1"/>
    </xf>
    <xf numFmtId="174" fontId="3" fillId="7" borderId="0" xfId="64" applyNumberFormat="1" applyFill="1" applyAlignment="1">
      <alignment horizontal="right"/>
    </xf>
    <xf numFmtId="175" fontId="3" fillId="7" borderId="0" xfId="64" applyNumberFormat="1" applyFill="1" applyAlignment="1">
      <alignment horizontal="right"/>
    </xf>
    <xf numFmtId="174" fontId="2" fillId="7" borderId="15" xfId="64" applyNumberFormat="1" applyFont="1" applyFill="1" applyBorder="1" applyAlignment="1">
      <alignment horizontal="right"/>
    </xf>
    <xf numFmtId="170" fontId="2" fillId="4" borderId="25" xfId="64" applyNumberFormat="1" applyFont="1" applyFill="1" applyBorder="1" applyAlignment="1">
      <alignment horizontal="center" vertical="center"/>
    </xf>
    <xf numFmtId="170" fontId="2" fillId="3" borderId="21" xfId="64" applyNumberFormat="1" applyFont="1" applyFill="1" applyBorder="1" applyAlignment="1">
      <alignment horizontal="center" vertical="center"/>
    </xf>
    <xf numFmtId="0" fontId="4" fillId="2" borderId="4" xfId="64" applyFont="1" applyFill="1" applyBorder="1" applyAlignment="1">
      <alignment horizontal="center" vertical="center"/>
    </xf>
    <xf numFmtId="0" fontId="4" fillId="2" borderId="1" xfId="64" applyFont="1" applyFill="1" applyBorder="1" applyAlignment="1">
      <alignment horizontal="center" vertical="center"/>
    </xf>
    <xf numFmtId="175" fontId="4" fillId="2" borderId="4" xfId="64" applyNumberFormat="1" applyFont="1" applyFill="1" applyBorder="1" applyAlignment="1">
      <alignment horizontal="center" vertical="center"/>
    </xf>
    <xf numFmtId="175" fontId="4" fillId="0" borderId="20" xfId="64" applyNumberFormat="1" applyFont="1" applyBorder="1" applyAlignment="1">
      <alignment horizontal="center" vertical="center"/>
    </xf>
    <xf numFmtId="0" fontId="4" fillId="0" borderId="20" xfId="64" applyFont="1" applyBorder="1" applyAlignment="1">
      <alignment horizontal="center" vertical="center"/>
    </xf>
    <xf numFmtId="167" fontId="4" fillId="7" borderId="0" xfId="64" applyNumberFormat="1" applyFont="1" applyFill="1" applyAlignment="1" applyProtection="1">
      <alignment horizontal="center"/>
      <protection locked="0"/>
    </xf>
    <xf numFmtId="170" fontId="4" fillId="0" borderId="10" xfId="64" applyNumberFormat="1" applyFont="1" applyBorder="1" applyAlignment="1">
      <alignment horizontal="center" vertical="center"/>
    </xf>
    <xf numFmtId="172" fontId="4" fillId="2" borderId="4" xfId="64" applyNumberFormat="1" applyFont="1" applyFill="1" applyBorder="1" applyAlignment="1">
      <alignment horizontal="center" vertical="center"/>
    </xf>
    <xf numFmtId="172" fontId="4" fillId="0" borderId="20" xfId="64" applyNumberFormat="1" applyFont="1" applyBorder="1" applyAlignment="1">
      <alignment horizontal="center" vertical="center"/>
    </xf>
    <xf numFmtId="0" fontId="2" fillId="7" borderId="0" xfId="0" applyFont="1" applyFill="1" applyAlignment="1" applyProtection="1">
      <alignment horizontal="center" wrapText="1"/>
      <protection hidden="1"/>
    </xf>
    <xf numFmtId="0" fontId="2" fillId="7" borderId="40" xfId="0" applyFont="1" applyFill="1" applyBorder="1" applyAlignment="1" applyProtection="1">
      <alignment horizontal="left" wrapText="1"/>
      <protection hidden="1"/>
    </xf>
    <xf numFmtId="0" fontId="2" fillId="0" borderId="20" xfId="64" applyFont="1" applyBorder="1" applyAlignment="1">
      <alignment horizontal="center" vertical="center" textRotation="90" wrapText="1"/>
    </xf>
    <xf numFmtId="0" fontId="2" fillId="0" borderId="6" xfId="64" applyFont="1" applyBorder="1" applyAlignment="1">
      <alignment horizontal="center" vertical="center" textRotation="90" wrapText="1"/>
    </xf>
    <xf numFmtId="0" fontId="2" fillId="0" borderId="41" xfId="64" applyFont="1" applyBorder="1" applyAlignment="1">
      <alignment horizontal="center" vertical="center" textRotation="90" wrapText="1"/>
    </xf>
    <xf numFmtId="0" fontId="2" fillId="0" borderId="10" xfId="64" applyFont="1" applyBorder="1" applyAlignment="1">
      <alignment horizontal="center" vertical="center"/>
    </xf>
    <xf numFmtId="0" fontId="2" fillId="0" borderId="1" xfId="64" applyFont="1" applyBorder="1" applyAlignment="1">
      <alignment horizontal="center" vertical="center"/>
    </xf>
    <xf numFmtId="0" fontId="2" fillId="0" borderId="3" xfId="64" applyFont="1" applyBorder="1" applyAlignment="1">
      <alignment horizontal="center" vertical="center"/>
    </xf>
    <xf numFmtId="0" fontId="2" fillId="0" borderId="10" xfId="64" applyFont="1" applyBorder="1" applyAlignment="1">
      <alignment vertical="center" wrapText="1"/>
    </xf>
    <xf numFmtId="0" fontId="2" fillId="0" borderId="3" xfId="64" applyFont="1" applyBorder="1" applyAlignment="1">
      <alignment vertical="center" wrapText="1"/>
    </xf>
    <xf numFmtId="0" fontId="25" fillId="8" borderId="10" xfId="30" applyFont="1" applyFill="1" applyBorder="1" applyAlignment="1" applyProtection="1">
      <alignment horizontal="left" wrapText="1"/>
      <protection hidden="1"/>
    </xf>
    <xf numFmtId="0" fontId="25" fillId="8" borderId="1" xfId="30" applyFont="1" applyFill="1" applyBorder="1" applyAlignment="1" applyProtection="1">
      <alignment wrapText="1"/>
      <protection hidden="1"/>
    </xf>
    <xf numFmtId="0" fontId="26" fillId="0" borderId="0" xfId="46" applyFont="1" applyAlignment="1">
      <alignment horizontal="center"/>
    </xf>
    <xf numFmtId="0" fontId="26" fillId="0" borderId="0" xfId="46" applyFont="1"/>
    <xf numFmtId="167" fontId="26" fillId="0" borderId="0" xfId="46" applyNumberFormat="1" applyFont="1"/>
    <xf numFmtId="0" fontId="27" fillId="2" borderId="13" xfId="0" applyFont="1" applyFill="1" applyBorder="1" applyAlignment="1">
      <alignment wrapText="1"/>
    </xf>
    <xf numFmtId="175" fontId="27" fillId="2" borderId="42" xfId="0" applyNumberFormat="1" applyFont="1" applyFill="1" applyBorder="1"/>
    <xf numFmtId="0" fontId="27" fillId="2" borderId="44" xfId="0" applyFont="1" applyFill="1" applyBorder="1" applyAlignment="1">
      <alignment wrapText="1"/>
    </xf>
    <xf numFmtId="175" fontId="27" fillId="2" borderId="41" xfId="0" applyNumberFormat="1" applyFont="1" applyFill="1" applyBorder="1"/>
    <xf numFmtId="0" fontId="28" fillId="2" borderId="16" xfId="30" applyFont="1" applyFill="1" applyBorder="1" applyAlignment="1">
      <alignment vertical="center"/>
    </xf>
    <xf numFmtId="0" fontId="29" fillId="2" borderId="11" xfId="30" applyFont="1" applyFill="1" applyBorder="1" applyAlignment="1">
      <alignment vertical="center"/>
    </xf>
    <xf numFmtId="0" fontId="29" fillId="2" borderId="7" xfId="30" applyFont="1" applyFill="1" applyBorder="1" applyAlignment="1">
      <alignment vertical="center"/>
    </xf>
    <xf numFmtId="0" fontId="30" fillId="8" borderId="1" xfId="30" applyFont="1" applyFill="1" applyBorder="1" applyAlignment="1">
      <alignment wrapText="1"/>
    </xf>
    <xf numFmtId="0" fontId="28" fillId="8" borderId="1" xfId="0" applyFont="1" applyFill="1" applyBorder="1" applyProtection="1">
      <protection hidden="1"/>
    </xf>
    <xf numFmtId="0" fontId="28" fillId="8" borderId="3" xfId="0" applyFont="1" applyFill="1" applyBorder="1" applyProtection="1">
      <protection hidden="1"/>
    </xf>
    <xf numFmtId="0" fontId="29" fillId="0" borderId="0" xfId="0" applyFont="1" applyProtection="1">
      <protection hidden="1"/>
    </xf>
    <xf numFmtId="0" fontId="28" fillId="0" borderId="7" xfId="0" applyFont="1" applyBorder="1" applyAlignment="1" applyProtection="1">
      <alignment horizontal="left"/>
      <protection hidden="1"/>
    </xf>
    <xf numFmtId="0" fontId="28" fillId="0" borderId="5" xfId="0" applyFont="1" applyBorder="1" applyAlignment="1" applyProtection="1">
      <alignment horizontal="left"/>
      <protection hidden="1"/>
    </xf>
    <xf numFmtId="0" fontId="29" fillId="0" borderId="5" xfId="0" applyFont="1" applyBorder="1" applyProtection="1">
      <protection hidden="1"/>
    </xf>
    <xf numFmtId="0" fontId="29" fillId="0" borderId="2" xfId="0" applyFont="1" applyBorder="1" applyProtection="1">
      <protection hidden="1"/>
    </xf>
    <xf numFmtId="0" fontId="28" fillId="9" borderId="10" xfId="0" applyFont="1" applyFill="1" applyBorder="1" applyAlignment="1" applyProtection="1">
      <alignment horizontal="left" wrapText="1"/>
      <protection hidden="1"/>
    </xf>
    <xf numFmtId="0" fontId="29" fillId="9" borderId="1" xfId="0" applyFont="1" applyFill="1" applyBorder="1" applyAlignment="1">
      <alignment horizontal="left" wrapText="1"/>
    </xf>
    <xf numFmtId="0" fontId="28" fillId="9" borderId="1" xfId="0" applyFont="1" applyFill="1" applyBorder="1" applyProtection="1">
      <protection hidden="1"/>
    </xf>
    <xf numFmtId="167" fontId="28" fillId="9" borderId="1" xfId="0" applyNumberFormat="1" applyFont="1" applyFill="1" applyBorder="1" applyAlignment="1" applyProtection="1">
      <alignment horizontal="left"/>
      <protection hidden="1"/>
    </xf>
    <xf numFmtId="0" fontId="29" fillId="9" borderId="1" xfId="0" applyFont="1" applyFill="1" applyBorder="1" applyProtection="1">
      <protection hidden="1"/>
    </xf>
    <xf numFmtId="0" fontId="29" fillId="9" borderId="3" xfId="0" applyFont="1" applyFill="1" applyBorder="1" applyProtection="1">
      <protection hidden="1"/>
    </xf>
    <xf numFmtId="0" fontId="28" fillId="0" borderId="10" xfId="0" applyFont="1" applyBorder="1" applyAlignment="1" applyProtection="1">
      <alignment horizontal="left"/>
      <protection hidden="1"/>
    </xf>
    <xf numFmtId="0" fontId="28" fillId="0" borderId="1" xfId="0" applyFont="1" applyBorder="1" applyAlignment="1" applyProtection="1">
      <alignment horizontal="left"/>
      <protection hidden="1"/>
    </xf>
    <xf numFmtId="0" fontId="28" fillId="0" borderId="1" xfId="0" applyFont="1" applyBorder="1" applyAlignment="1" applyProtection="1">
      <alignment horizontal="centerContinuous"/>
      <protection hidden="1"/>
    </xf>
    <xf numFmtId="0" fontId="29" fillId="0" borderId="1" xfId="0" applyFont="1" applyBorder="1" applyAlignment="1" applyProtection="1">
      <alignment horizontal="centerContinuous"/>
      <protection hidden="1"/>
    </xf>
    <xf numFmtId="0" fontId="31" fillId="0" borderId="1" xfId="0" applyFont="1" applyBorder="1" applyProtection="1">
      <protection hidden="1"/>
    </xf>
    <xf numFmtId="0" fontId="29" fillId="0" borderId="3" xfId="0" applyFont="1" applyBorder="1" applyProtection="1">
      <protection hidden="1"/>
    </xf>
    <xf numFmtId="0" fontId="28" fillId="0" borderId="10" xfId="30" applyFont="1" applyBorder="1" applyAlignment="1" applyProtection="1">
      <alignment horizontal="left"/>
      <protection hidden="1"/>
    </xf>
    <xf numFmtId="171" fontId="28" fillId="2" borderId="4" xfId="0" applyNumberFormat="1" applyFont="1" applyFill="1" applyBorder="1" applyProtection="1">
      <protection hidden="1"/>
    </xf>
    <xf numFmtId="171" fontId="28" fillId="0" borderId="0" xfId="0" applyNumberFormat="1" applyFont="1" applyProtection="1">
      <protection hidden="1"/>
    </xf>
    <xf numFmtId="0" fontId="28" fillId="9" borderId="10" xfId="30" applyFont="1" applyFill="1" applyBorder="1" applyAlignment="1" applyProtection="1">
      <alignment horizontal="left"/>
      <protection hidden="1"/>
    </xf>
    <xf numFmtId="0" fontId="28" fillId="9" borderId="1" xfId="0" applyFont="1" applyFill="1" applyBorder="1" applyAlignment="1" applyProtection="1">
      <alignment horizontal="left"/>
      <protection hidden="1"/>
    </xf>
    <xf numFmtId="168" fontId="28" fillId="9" borderId="3" xfId="0" applyNumberFormat="1" applyFont="1" applyFill="1" applyBorder="1" applyAlignment="1" applyProtection="1">
      <alignment horizontal="left"/>
      <protection hidden="1"/>
    </xf>
    <xf numFmtId="167" fontId="28" fillId="9" borderId="4" xfId="0" applyNumberFormat="1" applyFont="1" applyFill="1" applyBorder="1" applyAlignment="1" applyProtection="1">
      <alignment horizontal="right"/>
      <protection hidden="1"/>
    </xf>
    <xf numFmtId="167" fontId="28" fillId="0" borderId="0" xfId="0" applyNumberFormat="1" applyFont="1" applyAlignment="1" applyProtection="1">
      <alignment horizontal="right"/>
      <protection hidden="1"/>
    </xf>
    <xf numFmtId="0" fontId="28" fillId="0" borderId="11" xfId="0" applyFont="1" applyBorder="1" applyAlignment="1" applyProtection="1">
      <alignment horizontal="left"/>
      <protection hidden="1"/>
    </xf>
    <xf numFmtId="0" fontId="28" fillId="0" borderId="0" xfId="0" applyFont="1" applyAlignment="1" applyProtection="1">
      <alignment horizontal="left"/>
      <protection hidden="1"/>
    </xf>
    <xf numFmtId="169" fontId="28" fillId="2" borderId="4" xfId="0" applyNumberFormat="1" applyFont="1" applyFill="1" applyBorder="1" applyAlignment="1" applyProtection="1">
      <alignment horizontal="right"/>
      <protection hidden="1"/>
    </xf>
    <xf numFmtId="0" fontId="25" fillId="8" borderId="10" xfId="30" applyFont="1" applyFill="1" applyBorder="1" applyAlignment="1" applyProtection="1">
      <alignment horizontal="left" wrapText="1" readingOrder="1"/>
      <protection hidden="1"/>
    </xf>
    <xf numFmtId="0" fontId="25" fillId="8" borderId="1" xfId="30" applyFont="1" applyFill="1" applyBorder="1" applyAlignment="1" applyProtection="1">
      <alignment horizontal="left" wrapText="1" readingOrder="1"/>
      <protection hidden="1"/>
    </xf>
    <xf numFmtId="0" fontId="25" fillId="8" borderId="3" xfId="30" applyFont="1" applyFill="1" applyBorder="1" applyAlignment="1" applyProtection="1">
      <alignment horizontal="left" wrapText="1" readingOrder="1"/>
      <protection hidden="1"/>
    </xf>
    <xf numFmtId="0" fontId="29" fillId="8" borderId="4" xfId="0" applyFont="1" applyFill="1" applyBorder="1" applyProtection="1">
      <protection hidden="1"/>
    </xf>
    <xf numFmtId="0" fontId="28" fillId="0" borderId="13" xfId="30" applyFont="1" applyBorder="1" applyAlignment="1" applyProtection="1">
      <alignment horizontal="left"/>
      <protection hidden="1"/>
    </xf>
    <xf numFmtId="0" fontId="28" fillId="0" borderId="14" xfId="30" applyFont="1" applyBorder="1" applyAlignment="1" applyProtection="1">
      <alignment horizontal="left"/>
      <protection hidden="1"/>
    </xf>
    <xf numFmtId="167" fontId="29" fillId="0" borderId="0" xfId="0" applyNumberFormat="1" applyFont="1" applyProtection="1">
      <protection hidden="1"/>
    </xf>
    <xf numFmtId="0" fontId="28" fillId="0" borderId="12" xfId="30" applyFont="1" applyBorder="1" applyAlignment="1" applyProtection="1">
      <alignment horizontal="left"/>
      <protection hidden="1"/>
    </xf>
    <xf numFmtId="0" fontId="28" fillId="0" borderId="15" xfId="30" applyFont="1" applyBorder="1" applyAlignment="1" applyProtection="1">
      <alignment horizontal="left"/>
      <protection hidden="1"/>
    </xf>
    <xf numFmtId="167" fontId="28" fillId="0" borderId="0" xfId="0" applyNumberFormat="1" applyFont="1" applyProtection="1">
      <protection hidden="1"/>
    </xf>
    <xf numFmtId="0" fontId="28" fillId="9" borderId="10" xfId="30" applyFont="1" applyFill="1" applyBorder="1" applyAlignment="1" applyProtection="1">
      <alignment horizontal="left" wrapText="1"/>
      <protection hidden="1"/>
    </xf>
    <xf numFmtId="0" fontId="28" fillId="9" borderId="1" xfId="30" applyFont="1" applyFill="1" applyBorder="1" applyAlignment="1" applyProtection="1">
      <alignment horizontal="left" wrapText="1"/>
      <protection hidden="1"/>
    </xf>
    <xf numFmtId="0" fontId="28" fillId="9" borderId="3" xfId="30" applyFont="1" applyFill="1" applyBorder="1" applyAlignment="1" applyProtection="1">
      <alignment horizontal="left" wrapText="1"/>
      <protection hidden="1"/>
    </xf>
    <xf numFmtId="167" fontId="28" fillId="9" borderId="4" xfId="0" applyNumberFormat="1" applyFont="1" applyFill="1" applyBorder="1" applyProtection="1">
      <protection hidden="1"/>
    </xf>
    <xf numFmtId="0" fontId="28" fillId="2" borderId="11" xfId="30" applyFont="1" applyFill="1" applyBorder="1" applyAlignment="1" applyProtection="1">
      <alignment horizontal="left"/>
      <protection hidden="1"/>
    </xf>
    <xf numFmtId="0" fontId="28" fillId="2" borderId="0" xfId="30" applyFont="1" applyFill="1" applyAlignment="1" applyProtection="1">
      <alignment horizontal="left"/>
      <protection hidden="1"/>
    </xf>
    <xf numFmtId="167" fontId="28" fillId="2" borderId="6" xfId="0" applyNumberFormat="1" applyFont="1" applyFill="1" applyBorder="1" applyProtection="1">
      <protection hidden="1"/>
    </xf>
    <xf numFmtId="165" fontId="28" fillId="9" borderId="10" xfId="30" applyNumberFormat="1" applyFont="1" applyFill="1" applyBorder="1" applyAlignment="1" applyProtection="1">
      <alignment horizontal="left" wrapText="1"/>
      <protection hidden="1"/>
    </xf>
    <xf numFmtId="165" fontId="28" fillId="9" borderId="1" xfId="30" applyNumberFormat="1" applyFont="1" applyFill="1" applyBorder="1" applyAlignment="1" applyProtection="1">
      <alignment horizontal="left" wrapText="1"/>
      <protection hidden="1"/>
    </xf>
    <xf numFmtId="165" fontId="28" fillId="9" borderId="3" xfId="30" applyNumberFormat="1" applyFont="1" applyFill="1" applyBorder="1" applyAlignment="1" applyProtection="1">
      <alignment horizontal="left" wrapText="1"/>
      <protection hidden="1"/>
    </xf>
    <xf numFmtId="0" fontId="28" fillId="0" borderId="11" xfId="30" applyFont="1" applyBorder="1" applyAlignment="1" applyProtection="1">
      <alignment horizontal="left"/>
      <protection hidden="1"/>
    </xf>
    <xf numFmtId="0" fontId="28" fillId="0" borderId="0" xfId="30" applyFont="1" applyAlignment="1" applyProtection="1">
      <alignment horizontal="left"/>
      <protection hidden="1"/>
    </xf>
    <xf numFmtId="167" fontId="28" fillId="0" borderId="6" xfId="0" applyNumberFormat="1" applyFont="1" applyBorder="1" applyProtection="1">
      <protection hidden="1"/>
    </xf>
    <xf numFmtId="0" fontId="29" fillId="9" borderId="1" xfId="30" applyFont="1" applyFill="1" applyBorder="1" applyAlignment="1">
      <alignment horizontal="left" wrapText="1"/>
    </xf>
    <xf numFmtId="0" fontId="29" fillId="9" borderId="3" xfId="30" applyFont="1" applyFill="1" applyBorder="1" applyAlignment="1">
      <alignment horizontal="left" wrapText="1"/>
    </xf>
    <xf numFmtId="0" fontId="28" fillId="9" borderId="10" xfId="0" applyFont="1" applyFill="1" applyBorder="1" applyAlignment="1" applyProtection="1">
      <alignment horizontal="left"/>
      <protection hidden="1"/>
    </xf>
    <xf numFmtId="0" fontId="25" fillId="8" borderId="10" xfId="0" applyFont="1" applyFill="1" applyBorder="1" applyAlignment="1" applyProtection="1">
      <alignment horizontal="left" wrapText="1"/>
      <protection hidden="1"/>
    </xf>
    <xf numFmtId="0" fontId="30" fillId="8" borderId="1" xfId="0" applyFont="1" applyFill="1" applyBorder="1" applyAlignment="1">
      <alignment horizontal="left" wrapText="1"/>
    </xf>
    <xf numFmtId="0" fontId="30" fillId="8" borderId="3" xfId="0" applyFont="1" applyFill="1" applyBorder="1" applyAlignment="1">
      <alignment horizontal="left" wrapText="1"/>
    </xf>
    <xf numFmtId="167" fontId="25" fillId="8" borderId="4" xfId="0" applyNumberFormat="1" applyFont="1" applyFill="1" applyBorder="1" applyProtection="1">
      <protection hidden="1"/>
    </xf>
    <xf numFmtId="0" fontId="25" fillId="8" borderId="1" xfId="0" applyFont="1" applyFill="1" applyBorder="1" applyAlignment="1" applyProtection="1">
      <alignment horizontal="left"/>
      <protection hidden="1"/>
    </xf>
    <xf numFmtId="0" fontId="30" fillId="8" borderId="3" xfId="0" applyFont="1" applyFill="1" applyBorder="1" applyProtection="1">
      <protection hidden="1"/>
    </xf>
    <xf numFmtId="0" fontId="29" fillId="0" borderId="14" xfId="0" applyFont="1" applyBorder="1" applyAlignment="1">
      <alignment wrapText="1"/>
    </xf>
    <xf numFmtId="0" fontId="29" fillId="0" borderId="0" xfId="0" applyFont="1"/>
    <xf numFmtId="0" fontId="29" fillId="0" borderId="40" xfId="0" applyFont="1" applyBorder="1" applyAlignment="1">
      <alignment wrapText="1"/>
    </xf>
    <xf numFmtId="0" fontId="29" fillId="2" borderId="17" xfId="30" applyFont="1" applyFill="1" applyBorder="1" applyProtection="1">
      <protection hidden="1"/>
    </xf>
    <xf numFmtId="0" fontId="29" fillId="2" borderId="18" xfId="30" applyFont="1" applyFill="1" applyBorder="1" applyProtection="1">
      <protection hidden="1"/>
    </xf>
    <xf numFmtId="0" fontId="29" fillId="0" borderId="0" xfId="30" applyFont="1"/>
    <xf numFmtId="0" fontId="29" fillId="2" borderId="0" xfId="30" applyFont="1" applyFill="1" applyProtection="1">
      <protection hidden="1"/>
    </xf>
    <xf numFmtId="0" fontId="29" fillId="2" borderId="19" xfId="30" applyFont="1" applyFill="1" applyBorder="1" applyProtection="1">
      <protection hidden="1"/>
    </xf>
    <xf numFmtId="0" fontId="29" fillId="2" borderId="5" xfId="30" applyFont="1" applyFill="1" applyBorder="1" applyProtection="1">
      <protection hidden="1"/>
    </xf>
    <xf numFmtId="0" fontId="29" fillId="2" borderId="2" xfId="30" applyFont="1" applyFill="1" applyBorder="1" applyProtection="1">
      <protection hidden="1"/>
    </xf>
    <xf numFmtId="0" fontId="29" fillId="0" borderId="16" xfId="0" applyFont="1" applyBorder="1" applyAlignment="1" applyProtection="1">
      <alignment horizontal="left" vertical="center"/>
      <protection hidden="1"/>
    </xf>
    <xf numFmtId="0" fontId="29" fillId="0" borderId="17" xfId="0" applyFont="1" applyBorder="1" applyAlignment="1" applyProtection="1">
      <alignment horizontal="left" vertical="center"/>
      <protection hidden="1"/>
    </xf>
    <xf numFmtId="0" fontId="29" fillId="0" borderId="18" xfId="0" applyFont="1" applyBorder="1" applyAlignment="1" applyProtection="1">
      <alignment horizontal="left" vertical="center"/>
      <protection hidden="1"/>
    </xf>
    <xf numFmtId="0" fontId="29" fillId="0" borderId="11" xfId="0" applyFont="1" applyBorder="1" applyAlignment="1" applyProtection="1">
      <alignment horizontal="left" vertical="center"/>
      <protection hidden="1"/>
    </xf>
    <xf numFmtId="0" fontId="29" fillId="0" borderId="0" xfId="0" applyFont="1" applyAlignment="1" applyProtection="1">
      <alignment horizontal="left" vertical="center"/>
      <protection hidden="1"/>
    </xf>
    <xf numFmtId="0" fontId="29" fillId="0" borderId="19" xfId="0" applyFont="1" applyBorder="1" applyAlignment="1" applyProtection="1">
      <alignment horizontal="left" vertical="center"/>
      <protection hidden="1"/>
    </xf>
    <xf numFmtId="0" fontId="29" fillId="0" borderId="7" xfId="0" applyFont="1" applyBorder="1" applyAlignment="1" applyProtection="1">
      <alignment horizontal="left" vertical="center"/>
      <protection hidden="1"/>
    </xf>
    <xf numFmtId="0" fontId="29" fillId="0" borderId="5" xfId="0" applyFont="1" applyBorder="1" applyAlignment="1" applyProtection="1">
      <alignment horizontal="left" vertical="center"/>
      <protection hidden="1"/>
    </xf>
    <xf numFmtId="0" fontId="29" fillId="0" borderId="2" xfId="0" applyFont="1" applyBorder="1" applyAlignment="1" applyProtection="1">
      <alignment horizontal="left" vertical="center"/>
      <protection hidden="1"/>
    </xf>
    <xf numFmtId="180" fontId="28" fillId="9" borderId="4" xfId="0" applyNumberFormat="1" applyFont="1" applyFill="1" applyBorder="1" applyAlignment="1" applyProtection="1">
      <alignment horizontal="right"/>
      <protection hidden="1"/>
    </xf>
    <xf numFmtId="180" fontId="28" fillId="2" borderId="4" xfId="0" applyNumberFormat="1" applyFont="1" applyFill="1" applyBorder="1" applyAlignment="1" applyProtection="1">
      <alignment horizontal="right"/>
      <protection hidden="1"/>
    </xf>
    <xf numFmtId="180" fontId="29" fillId="8" borderId="4" xfId="0" applyNumberFormat="1" applyFont="1" applyFill="1" applyBorder="1" applyProtection="1">
      <protection hidden="1"/>
    </xf>
    <xf numFmtId="180" fontId="28" fillId="0" borderId="8" xfId="34" applyNumberFormat="1" applyFont="1" applyBorder="1" applyProtection="1">
      <protection hidden="1"/>
    </xf>
    <xf numFmtId="180" fontId="28" fillId="0" borderId="9" xfId="34" applyNumberFormat="1" applyFont="1" applyBorder="1" applyProtection="1">
      <protection hidden="1"/>
    </xf>
    <xf numFmtId="180" fontId="28" fillId="9" borderId="4" xfId="0" applyNumberFormat="1" applyFont="1" applyFill="1" applyBorder="1" applyProtection="1">
      <protection hidden="1"/>
    </xf>
    <xf numFmtId="180" fontId="28" fillId="2" borderId="6" xfId="0" applyNumberFormat="1" applyFont="1" applyFill="1" applyBorder="1" applyProtection="1">
      <protection hidden="1"/>
    </xf>
    <xf numFmtId="180" fontId="28" fillId="9" borderId="4" xfId="34" applyNumberFormat="1" applyFont="1" applyFill="1" applyBorder="1" applyProtection="1">
      <protection hidden="1"/>
    </xf>
    <xf numFmtId="180" fontId="28" fillId="9" borderId="4" xfId="30" applyNumberFormat="1" applyFont="1" applyFill="1" applyBorder="1" applyProtection="1">
      <protection hidden="1"/>
    </xf>
    <xf numFmtId="180" fontId="28" fillId="0" borderId="6" xfId="0" applyNumberFormat="1" applyFont="1" applyBorder="1" applyProtection="1">
      <protection hidden="1"/>
    </xf>
    <xf numFmtId="180" fontId="25" fillId="8" borderId="4" xfId="0" applyNumberFormat="1" applyFont="1" applyFill="1" applyBorder="1" applyProtection="1">
      <protection hidden="1"/>
    </xf>
    <xf numFmtId="180" fontId="29" fillId="0" borderId="0" xfId="0" applyNumberFormat="1" applyFont="1" applyProtection="1">
      <protection hidden="1"/>
    </xf>
    <xf numFmtId="180" fontId="27" fillId="2" borderId="42" xfId="0" applyNumberFormat="1" applyFont="1" applyFill="1" applyBorder="1"/>
    <xf numFmtId="180" fontId="27" fillId="2" borderId="14" xfId="0" applyNumberFormat="1" applyFont="1" applyFill="1" applyBorder="1"/>
    <xf numFmtId="180" fontId="27" fillId="2" borderId="43" xfId="0" applyNumberFormat="1" applyFont="1" applyFill="1" applyBorder="1"/>
    <xf numFmtId="180" fontId="27" fillId="2" borderId="41" xfId="0" applyNumberFormat="1" applyFont="1" applyFill="1" applyBorder="1"/>
    <xf numFmtId="180" fontId="27" fillId="2" borderId="5" xfId="0" applyNumberFormat="1" applyFont="1" applyFill="1" applyBorder="1"/>
    <xf numFmtId="180" fontId="27" fillId="2" borderId="2" xfId="0" applyNumberFormat="1" applyFont="1" applyFill="1" applyBorder="1"/>
    <xf numFmtId="0" fontId="25" fillId="8" borderId="10" xfId="0" applyFont="1" applyFill="1" applyBorder="1" applyAlignment="1" applyProtection="1">
      <alignment horizontal="left"/>
      <protection hidden="1"/>
    </xf>
    <xf numFmtId="180" fontId="28" fillId="9" borderId="1" xfId="0" applyNumberFormat="1" applyFont="1" applyFill="1" applyBorder="1" applyAlignment="1" applyProtection="1">
      <alignment horizontal="left"/>
      <protection hidden="1"/>
    </xf>
    <xf numFmtId="0" fontId="25" fillId="8" borderId="1" xfId="0" applyFont="1" applyFill="1" applyBorder="1" applyProtection="1">
      <protection hidden="1"/>
    </xf>
    <xf numFmtId="171" fontId="28" fillId="2" borderId="4" xfId="34" applyNumberFormat="1" applyFont="1" applyFill="1" applyBorder="1" applyProtection="1">
      <protection hidden="1"/>
    </xf>
    <xf numFmtId="165" fontId="28" fillId="0" borderId="0" xfId="0" applyNumberFormat="1" applyFont="1" applyProtection="1">
      <protection hidden="1"/>
    </xf>
    <xf numFmtId="0" fontId="25" fillId="8" borderId="10" xfId="30" applyFont="1" applyFill="1" applyBorder="1" applyAlignment="1" applyProtection="1">
      <alignment horizontal="left" vertical="center" wrapText="1"/>
      <protection hidden="1"/>
    </xf>
    <xf numFmtId="0" fontId="30" fillId="8" borderId="1" xfId="30" applyFont="1" applyFill="1" applyBorder="1" applyAlignment="1">
      <alignment vertical="center" wrapText="1"/>
    </xf>
    <xf numFmtId="0" fontId="28" fillId="9" borderId="1" xfId="0" applyFont="1" applyFill="1" applyBorder="1" applyAlignment="1" applyProtection="1">
      <protection hidden="1"/>
    </xf>
    <xf numFmtId="169" fontId="28" fillId="0" borderId="0" xfId="0" applyNumberFormat="1" applyFont="1" applyAlignment="1" applyProtection="1">
      <alignment horizontal="right"/>
      <protection hidden="1"/>
    </xf>
    <xf numFmtId="0" fontId="25" fillId="8" borderId="10" xfId="30" applyFont="1" applyFill="1" applyBorder="1" applyAlignment="1" applyProtection="1">
      <alignment horizontal="left" vertical="center"/>
      <protection hidden="1"/>
    </xf>
    <xf numFmtId="0" fontId="30" fillId="8" borderId="1" xfId="30" applyFont="1" applyFill="1" applyBorder="1" applyAlignment="1">
      <alignment vertical="center"/>
    </xf>
    <xf numFmtId="0" fontId="29" fillId="7" borderId="0" xfId="0" applyFont="1" applyFill="1" applyBorder="1" applyAlignment="1" applyProtection="1">
      <alignment horizontal="center" vertical="center"/>
      <protection hidden="1"/>
    </xf>
    <xf numFmtId="0" fontId="29" fillId="7" borderId="16" xfId="0" applyFont="1" applyFill="1" applyBorder="1" applyAlignment="1" applyProtection="1">
      <alignment horizontal="center" vertical="center"/>
      <protection hidden="1"/>
    </xf>
    <xf numFmtId="0" fontId="29" fillId="7" borderId="17" xfId="0" applyFont="1" applyFill="1" applyBorder="1" applyAlignment="1" applyProtection="1">
      <alignment horizontal="center" vertical="center"/>
      <protection hidden="1"/>
    </xf>
    <xf numFmtId="0" fontId="29" fillId="7" borderId="11" xfId="0" applyFont="1" applyFill="1" applyBorder="1" applyAlignment="1" applyProtection="1">
      <alignment horizontal="center" vertical="center"/>
      <protection hidden="1"/>
    </xf>
    <xf numFmtId="0" fontId="29" fillId="7" borderId="7" xfId="0" applyFont="1" applyFill="1" applyBorder="1" applyAlignment="1" applyProtection="1">
      <alignment horizontal="center" vertical="center"/>
      <protection hidden="1"/>
    </xf>
    <xf numFmtId="0" fontId="29" fillId="7" borderId="5" xfId="0" applyFont="1" applyFill="1" applyBorder="1" applyAlignment="1" applyProtection="1">
      <alignment horizontal="center" vertical="center"/>
      <protection hidden="1"/>
    </xf>
    <xf numFmtId="0" fontId="29" fillId="0" borderId="0" xfId="0" applyFont="1" applyBorder="1" applyAlignment="1" applyProtection="1">
      <alignment vertical="center"/>
      <protection hidden="1"/>
    </xf>
    <xf numFmtId="0" fontId="29" fillId="7" borderId="18" xfId="0" applyFont="1" applyFill="1" applyBorder="1" applyAlignment="1" applyProtection="1">
      <alignment horizontal="center" vertical="center"/>
      <protection hidden="1"/>
    </xf>
    <xf numFmtId="0" fontId="29" fillId="7" borderId="19" xfId="0" applyFont="1" applyFill="1" applyBorder="1" applyAlignment="1" applyProtection="1">
      <alignment horizontal="center" vertical="center"/>
      <protection hidden="1"/>
    </xf>
    <xf numFmtId="0" fontId="29" fillId="7" borderId="2" xfId="0" applyFont="1" applyFill="1" applyBorder="1" applyAlignment="1" applyProtection="1">
      <alignment horizontal="center" vertical="center"/>
      <protection hidden="1"/>
    </xf>
    <xf numFmtId="0" fontId="25" fillId="8" borderId="10" xfId="30" applyFont="1" applyFill="1" applyBorder="1" applyAlignment="1" applyProtection="1">
      <alignment wrapText="1"/>
      <protection hidden="1"/>
    </xf>
    <xf numFmtId="0" fontId="25" fillId="8" borderId="1" xfId="30" applyFont="1" applyFill="1" applyBorder="1" applyAlignment="1" applyProtection="1">
      <alignment wrapText="1"/>
      <protection hidden="1"/>
    </xf>
    <xf numFmtId="0" fontId="27" fillId="2" borderId="14" xfId="0" applyFont="1" applyFill="1" applyBorder="1" applyAlignment="1">
      <alignment wrapText="1"/>
    </xf>
    <xf numFmtId="0" fontId="27" fillId="2" borderId="43" xfId="0" applyFont="1" applyFill="1" applyBorder="1" applyAlignment="1">
      <alignment wrapText="1"/>
    </xf>
    <xf numFmtId="180" fontId="27" fillId="2" borderId="13" xfId="0" applyNumberFormat="1" applyFont="1" applyFill="1" applyBorder="1" applyAlignment="1">
      <alignment horizontal="center"/>
    </xf>
    <xf numFmtId="0" fontId="27" fillId="2" borderId="40" xfId="0" applyFont="1" applyFill="1" applyBorder="1" applyAlignment="1">
      <alignment wrapText="1"/>
    </xf>
    <xf numFmtId="0" fontId="27" fillId="2" borderId="45" xfId="0" applyFont="1" applyFill="1" applyBorder="1" applyAlignment="1">
      <alignment wrapText="1"/>
    </xf>
    <xf numFmtId="180" fontId="27" fillId="2" borderId="7" xfId="0" applyNumberFormat="1" applyFont="1" applyFill="1" applyBorder="1" applyAlignment="1">
      <alignment horizontal="center"/>
    </xf>
    <xf numFmtId="0" fontId="29" fillId="0" borderId="0" xfId="0" applyFont="1" applyBorder="1" applyProtection="1">
      <protection hidden="1"/>
    </xf>
    <xf numFmtId="0" fontId="29" fillId="0" borderId="5" xfId="0" applyFont="1" applyBorder="1" applyAlignment="1" applyProtection="1">
      <alignment horizontal="center"/>
      <protection hidden="1"/>
    </xf>
    <xf numFmtId="0" fontId="28" fillId="9" borderId="3" xfId="30" applyFont="1" applyFill="1" applyBorder="1" applyAlignment="1" applyProtection="1">
      <alignment horizontal="left" vertical="center"/>
      <protection hidden="1"/>
    </xf>
    <xf numFmtId="0" fontId="29" fillId="9" borderId="3" xfId="30" applyFont="1" applyFill="1" applyBorder="1" applyProtection="1">
      <protection hidden="1"/>
    </xf>
    <xf numFmtId="0" fontId="28" fillId="9" borderId="1" xfId="30" applyFont="1" applyFill="1" applyBorder="1" applyAlignment="1" applyProtection="1">
      <alignment horizontal="center" vertical="center" wrapText="1"/>
      <protection hidden="1"/>
    </xf>
    <xf numFmtId="0" fontId="29" fillId="0" borderId="0" xfId="30" applyFont="1" applyBorder="1" applyProtection="1">
      <protection hidden="1"/>
    </xf>
    <xf numFmtId="0" fontId="29" fillId="0" borderId="0" xfId="30" applyFont="1" applyProtection="1">
      <protection hidden="1"/>
    </xf>
    <xf numFmtId="0" fontId="28" fillId="0" borderId="24" xfId="30" applyFont="1" applyBorder="1" applyAlignment="1" applyProtection="1">
      <alignment horizontal="left"/>
      <protection locked="0"/>
    </xf>
    <xf numFmtId="0" fontId="28" fillId="0" borderId="25" xfId="30" applyFont="1" applyBorder="1" applyAlignment="1" applyProtection="1">
      <alignment horizontal="left"/>
      <protection hidden="1"/>
    </xf>
    <xf numFmtId="180" fontId="28" fillId="0" borderId="37" xfId="30" applyNumberFormat="1" applyFont="1" applyBorder="1" applyAlignment="1" applyProtection="1">
      <alignment horizontal="center"/>
      <protection hidden="1"/>
    </xf>
    <xf numFmtId="10" fontId="31" fillId="0" borderId="9" xfId="30" applyNumberFormat="1" applyFont="1" applyBorder="1" applyAlignment="1" applyProtection="1">
      <alignment horizontal="center"/>
      <protection locked="0"/>
    </xf>
    <xf numFmtId="0" fontId="28" fillId="0" borderId="24" xfId="0" applyFont="1" applyBorder="1" applyAlignment="1" applyProtection="1">
      <alignment horizontal="left"/>
      <protection locked="0"/>
    </xf>
    <xf numFmtId="0" fontId="28" fillId="0" borderId="30" xfId="0" applyFont="1" applyBorder="1" applyAlignment="1" applyProtection="1">
      <alignment horizontal="left"/>
      <protection locked="0"/>
    </xf>
    <xf numFmtId="0" fontId="28" fillId="0" borderId="31" xfId="30" applyFont="1" applyBorder="1" applyAlignment="1" applyProtection="1">
      <alignment horizontal="left"/>
      <protection hidden="1"/>
    </xf>
    <xf numFmtId="10" fontId="31" fillId="0" borderId="51" xfId="30" applyNumberFormat="1" applyFont="1" applyBorder="1" applyAlignment="1" applyProtection="1">
      <alignment horizontal="center"/>
      <protection locked="0"/>
    </xf>
    <xf numFmtId="0" fontId="28" fillId="9" borderId="1" xfId="0" applyFont="1" applyFill="1" applyBorder="1" applyAlignment="1" applyProtection="1">
      <alignment horizontal="left" wrapText="1"/>
      <protection hidden="1"/>
    </xf>
    <xf numFmtId="180" fontId="28" fillId="9" borderId="1" xfId="30" applyNumberFormat="1" applyFont="1" applyFill="1" applyBorder="1" applyAlignment="1" applyProtection="1">
      <alignment horizontal="center"/>
      <protection hidden="1"/>
    </xf>
    <xf numFmtId="0" fontId="28" fillId="9" borderId="4" xfId="30" applyFont="1" applyFill="1" applyBorder="1" applyProtection="1">
      <protection hidden="1"/>
    </xf>
    <xf numFmtId="0" fontId="28" fillId="0" borderId="1" xfId="30" applyFont="1" applyBorder="1" applyAlignment="1" applyProtection="1">
      <alignment horizontal="left"/>
      <protection hidden="1"/>
    </xf>
    <xf numFmtId="180" fontId="28" fillId="0" borderId="1" xfId="0" applyNumberFormat="1" applyFont="1" applyBorder="1" applyAlignment="1" applyProtection="1">
      <alignment horizontal="center"/>
      <protection hidden="1"/>
    </xf>
    <xf numFmtId="0" fontId="29" fillId="0" borderId="4" xfId="0" applyFont="1" applyBorder="1" applyAlignment="1" applyProtection="1">
      <alignment horizontal="center"/>
      <protection hidden="1"/>
    </xf>
    <xf numFmtId="180" fontId="28" fillId="2" borderId="10" xfId="0" applyNumberFormat="1" applyFont="1" applyFill="1" applyBorder="1" applyAlignment="1" applyProtection="1">
      <alignment horizontal="center"/>
      <protection hidden="1"/>
    </xf>
    <xf numFmtId="0" fontId="28" fillId="9" borderId="1" xfId="30" applyFont="1" applyFill="1" applyBorder="1" applyAlignment="1" applyProtection="1">
      <alignment horizontal="left"/>
      <protection hidden="1"/>
    </xf>
    <xf numFmtId="168" fontId="28" fillId="9" borderId="3" xfId="30" applyNumberFormat="1" applyFont="1" applyFill="1" applyBorder="1" applyAlignment="1" applyProtection="1">
      <alignment horizontal="left"/>
      <protection hidden="1"/>
    </xf>
    <xf numFmtId="180" fontId="28" fillId="9" borderId="10" xfId="0" applyNumberFormat="1" applyFont="1" applyFill="1" applyBorder="1" applyAlignment="1" applyProtection="1">
      <alignment horizontal="center"/>
      <protection hidden="1"/>
    </xf>
    <xf numFmtId="0" fontId="25" fillId="8" borderId="10" xfId="30" applyFont="1" applyFill="1" applyBorder="1" applyAlignment="1" applyProtection="1">
      <alignment horizontal="left" vertical="center" wrapText="1" readingOrder="1"/>
      <protection hidden="1"/>
    </xf>
    <xf numFmtId="0" fontId="25" fillId="8" borderId="1" xfId="30" applyFont="1" applyFill="1" applyBorder="1" applyAlignment="1" applyProtection="1">
      <alignment horizontal="left" vertical="center" wrapText="1" readingOrder="1"/>
      <protection hidden="1"/>
    </xf>
    <xf numFmtId="0" fontId="25" fillId="8" borderId="3" xfId="30" applyFont="1" applyFill="1" applyBorder="1" applyAlignment="1" applyProtection="1">
      <alignment horizontal="left" vertical="center" wrapText="1" readingOrder="1"/>
      <protection hidden="1"/>
    </xf>
    <xf numFmtId="180" fontId="29" fillId="8" borderId="10" xfId="0" applyNumberFormat="1" applyFont="1" applyFill="1" applyBorder="1" applyAlignment="1" applyProtection="1">
      <alignment horizontal="center"/>
      <protection hidden="1"/>
    </xf>
    <xf numFmtId="180" fontId="28" fillId="0" borderId="48" xfId="34" applyNumberFormat="1" applyFont="1" applyBorder="1" applyAlignment="1" applyProtection="1">
      <alignment horizontal="center"/>
      <protection hidden="1"/>
    </xf>
    <xf numFmtId="167" fontId="28" fillId="0" borderId="8" xfId="0" applyNumberFormat="1" applyFont="1" applyBorder="1" applyProtection="1">
      <protection hidden="1"/>
    </xf>
    <xf numFmtId="180" fontId="28" fillId="0" borderId="12" xfId="34" applyNumberFormat="1" applyFont="1" applyBorder="1" applyAlignment="1" applyProtection="1">
      <alignment horizontal="center"/>
      <protection hidden="1"/>
    </xf>
    <xf numFmtId="167" fontId="28" fillId="0" borderId="9" xfId="0" applyNumberFormat="1" applyFont="1" applyBorder="1" applyProtection="1">
      <protection hidden="1"/>
    </xf>
    <xf numFmtId="167" fontId="32" fillId="9" borderId="4" xfId="0" applyNumberFormat="1" applyFont="1" applyFill="1" applyBorder="1" applyProtection="1">
      <protection hidden="1"/>
    </xf>
    <xf numFmtId="180" fontId="28" fillId="2" borderId="11" xfId="0" applyNumberFormat="1" applyFont="1" applyFill="1" applyBorder="1" applyAlignment="1" applyProtection="1">
      <alignment horizontal="center"/>
      <protection hidden="1"/>
    </xf>
    <xf numFmtId="180" fontId="28" fillId="9" borderId="10" xfId="34" applyNumberFormat="1" applyFont="1" applyFill="1" applyBorder="1" applyAlignment="1" applyProtection="1">
      <alignment horizontal="center"/>
      <protection hidden="1"/>
    </xf>
    <xf numFmtId="165" fontId="28" fillId="0" borderId="0" xfId="0" applyNumberFormat="1" applyFont="1" applyBorder="1" applyProtection="1">
      <protection hidden="1"/>
    </xf>
    <xf numFmtId="180" fontId="28" fillId="0" borderId="11" xfId="0" applyNumberFormat="1" applyFont="1" applyBorder="1" applyAlignment="1" applyProtection="1">
      <alignment horizontal="center"/>
      <protection hidden="1"/>
    </xf>
    <xf numFmtId="0" fontId="25" fillId="8" borderId="1" xfId="30" applyFont="1" applyFill="1" applyBorder="1" applyAlignment="1" applyProtection="1">
      <alignment horizontal="left" wrapText="1"/>
      <protection hidden="1"/>
    </xf>
    <xf numFmtId="0" fontId="25" fillId="8" borderId="3" xfId="30" applyFont="1" applyFill="1" applyBorder="1" applyAlignment="1" applyProtection="1">
      <alignment horizontal="left" wrapText="1"/>
      <protection hidden="1"/>
    </xf>
    <xf numFmtId="180" fontId="25" fillId="8" borderId="10" xfId="0" applyNumberFormat="1" applyFont="1" applyFill="1" applyBorder="1" applyAlignment="1" applyProtection="1">
      <alignment horizontal="center"/>
      <protection hidden="1"/>
    </xf>
    <xf numFmtId="0" fontId="25" fillId="8" borderId="10" xfId="30" applyFont="1" applyFill="1" applyBorder="1" applyAlignment="1" applyProtection="1">
      <alignment horizontal="left"/>
      <protection hidden="1"/>
    </xf>
    <xf numFmtId="0" fontId="25" fillId="8" borderId="1" xfId="30" applyFont="1" applyFill="1" applyBorder="1" applyAlignment="1" applyProtection="1">
      <alignment horizontal="left"/>
      <protection hidden="1"/>
    </xf>
    <xf numFmtId="0" fontId="30" fillId="8" borderId="3" xfId="30" applyFont="1" applyFill="1" applyBorder="1" applyProtection="1">
      <protection hidden="1"/>
    </xf>
    <xf numFmtId="180" fontId="29" fillId="0" borderId="0" xfId="0" applyNumberFormat="1" applyFont="1" applyAlignment="1" applyProtection="1">
      <alignment horizontal="center"/>
      <protection hidden="1"/>
    </xf>
    <xf numFmtId="0" fontId="29" fillId="0" borderId="6" xfId="0" applyFont="1" applyBorder="1" applyProtection="1">
      <protection hidden="1"/>
    </xf>
    <xf numFmtId="0" fontId="29" fillId="0" borderId="0" xfId="0" applyFont="1" applyBorder="1"/>
    <xf numFmtId="0" fontId="29" fillId="2" borderId="17" xfId="30" applyFont="1" applyFill="1" applyBorder="1" applyAlignment="1" applyProtection="1">
      <alignment horizontal="center"/>
      <protection hidden="1"/>
    </xf>
    <xf numFmtId="0" fontId="29" fillId="0" borderId="0" xfId="30" applyFont="1" applyBorder="1"/>
    <xf numFmtId="0" fontId="29" fillId="2" borderId="0" xfId="30" applyFont="1" applyFill="1" applyBorder="1" applyProtection="1">
      <protection hidden="1"/>
    </xf>
    <xf numFmtId="0" fontId="29" fillId="2" borderId="0" xfId="30" applyFont="1" applyFill="1" applyBorder="1" applyAlignment="1" applyProtection="1">
      <alignment horizontal="center"/>
      <protection hidden="1"/>
    </xf>
    <xf numFmtId="0" fontId="29" fillId="2" borderId="5" xfId="30" applyFont="1" applyFill="1" applyBorder="1" applyAlignment="1" applyProtection="1">
      <alignment horizontal="center"/>
      <protection hidden="1"/>
    </xf>
    <xf numFmtId="0" fontId="29" fillId="0" borderId="0" xfId="0" applyFont="1" applyAlignment="1" applyProtection="1">
      <alignment horizontal="center"/>
      <protection hidden="1"/>
    </xf>
    <xf numFmtId="167" fontId="28" fillId="2" borderId="4" xfId="0" applyNumberFormat="1" applyFont="1" applyFill="1" applyBorder="1" applyProtection="1">
      <protection hidden="1"/>
    </xf>
    <xf numFmtId="0" fontId="30" fillId="8" borderId="1" xfId="30" applyFont="1" applyFill="1" applyBorder="1" applyAlignment="1">
      <alignment horizontal="left" vertical="center" wrapText="1"/>
    </xf>
    <xf numFmtId="0" fontId="30" fillId="8" borderId="3" xfId="30" applyFont="1" applyFill="1" applyBorder="1" applyAlignment="1">
      <alignment horizontal="left" vertical="center" wrapText="1"/>
    </xf>
    <xf numFmtId="180" fontId="25" fillId="8" borderId="4" xfId="0" applyNumberFormat="1" applyFont="1" applyFill="1" applyBorder="1" applyAlignment="1" applyProtection="1">
      <alignment vertical="center"/>
      <protection hidden="1"/>
    </xf>
    <xf numFmtId="0" fontId="25" fillId="8" borderId="10" xfId="30" applyFont="1" applyFill="1" applyBorder="1" applyAlignment="1" applyProtection="1">
      <alignment horizontal="left" vertical="center"/>
      <protection hidden="1"/>
    </xf>
    <xf numFmtId="0" fontId="25" fillId="8" borderId="1" xfId="30" applyFont="1" applyFill="1" applyBorder="1" applyAlignment="1" applyProtection="1">
      <alignment horizontal="left" vertical="center"/>
      <protection hidden="1"/>
    </xf>
    <xf numFmtId="0" fontId="30" fillId="8" borderId="3" xfId="30" applyFont="1" applyFill="1" applyBorder="1" applyAlignment="1" applyProtection="1">
      <alignment vertical="center"/>
      <protection hidden="1"/>
    </xf>
    <xf numFmtId="0" fontId="27" fillId="2" borderId="50" xfId="0" applyFont="1" applyFill="1" applyBorder="1" applyAlignment="1">
      <alignment wrapText="1"/>
    </xf>
    <xf numFmtId="180" fontId="27" fillId="2" borderId="6" xfId="0" applyNumberFormat="1" applyFont="1" applyFill="1" applyBorder="1"/>
    <xf numFmtId="180" fontId="27" fillId="2" borderId="0" xfId="0" applyNumberFormat="1" applyFont="1" applyFill="1" applyBorder="1"/>
    <xf numFmtId="180" fontId="27" fillId="2" borderId="19" xfId="0" applyNumberFormat="1" applyFont="1" applyFill="1" applyBorder="1"/>
    <xf numFmtId="0" fontId="28" fillId="7" borderId="16" xfId="30" applyFont="1" applyFill="1" applyBorder="1" applyAlignment="1">
      <alignment vertical="center"/>
    </xf>
    <xf numFmtId="0" fontId="29" fillId="7" borderId="11" xfId="30" applyFont="1" applyFill="1" applyBorder="1" applyAlignment="1">
      <alignment vertical="center"/>
    </xf>
    <xf numFmtId="0" fontId="29" fillId="0" borderId="36" xfId="0" applyFont="1" applyBorder="1" applyAlignment="1">
      <alignment wrapText="1"/>
    </xf>
    <xf numFmtId="0" fontId="29" fillId="7" borderId="17" xfId="30" applyFont="1" applyFill="1" applyBorder="1" applyAlignment="1" applyProtection="1">
      <protection hidden="1"/>
    </xf>
    <xf numFmtId="0" fontId="29" fillId="7" borderId="18" xfId="30" applyFont="1" applyFill="1" applyBorder="1" applyAlignment="1"/>
    <xf numFmtId="0" fontId="29" fillId="7" borderId="0" xfId="30" applyFont="1" applyFill="1" applyBorder="1" applyAlignment="1" applyProtection="1">
      <protection hidden="1"/>
    </xf>
    <xf numFmtId="0" fontId="29" fillId="7" borderId="19" xfId="30" applyFont="1" applyFill="1" applyBorder="1" applyAlignment="1"/>
    <xf numFmtId="0" fontId="29" fillId="0" borderId="7" xfId="0" applyFont="1" applyBorder="1" applyAlignment="1" applyProtection="1">
      <protection hidden="1"/>
    </xf>
    <xf numFmtId="0" fontId="29" fillId="0" borderId="5" xfId="0" applyFont="1" applyBorder="1" applyAlignment="1" applyProtection="1">
      <protection hidden="1"/>
    </xf>
    <xf numFmtId="0" fontId="29" fillId="0" borderId="2" xfId="0" applyFont="1" applyBorder="1" applyAlignment="1" applyProtection="1">
      <protection hidden="1"/>
    </xf>
    <xf numFmtId="0" fontId="29" fillId="7" borderId="19" xfId="0" applyFont="1" applyFill="1" applyBorder="1" applyProtection="1">
      <protection hidden="1"/>
    </xf>
    <xf numFmtId="0" fontId="29" fillId="7" borderId="2" xfId="0" applyFont="1" applyFill="1" applyBorder="1" applyProtection="1">
      <protection hidden="1"/>
    </xf>
    <xf numFmtId="2" fontId="28" fillId="2" borderId="10" xfId="0" applyNumberFormat="1" applyFont="1" applyFill="1" applyBorder="1" applyAlignment="1" applyProtection="1">
      <alignment horizontal="center"/>
      <protection hidden="1"/>
    </xf>
    <xf numFmtId="0" fontId="28" fillId="9" borderId="4" xfId="30" applyFont="1" applyFill="1" applyBorder="1" applyAlignment="1" applyProtection="1">
      <alignment horizontal="center" vertical="center"/>
      <protection hidden="1"/>
    </xf>
    <xf numFmtId="0" fontId="27" fillId="2" borderId="35" xfId="0" applyFont="1" applyFill="1" applyBorder="1" applyAlignment="1">
      <alignment wrapText="1"/>
    </xf>
    <xf numFmtId="0" fontId="25" fillId="8" borderId="13" xfId="0" applyFont="1" applyFill="1" applyBorder="1"/>
    <xf numFmtId="0" fontId="25" fillId="8" borderId="14" xfId="0" applyFont="1" applyFill="1" applyBorder="1" applyAlignment="1">
      <alignment horizontal="center" wrapText="1"/>
    </xf>
    <xf numFmtId="0" fontId="25" fillId="8" borderId="43" xfId="0" applyFont="1" applyFill="1" applyBorder="1" applyAlignment="1">
      <alignment horizontal="center" wrapText="1"/>
    </xf>
    <xf numFmtId="167" fontId="28" fillId="9" borderId="11" xfId="18" applyFont="1" applyFill="1" applyBorder="1" applyAlignment="1"/>
    <xf numFmtId="0" fontId="27" fillId="9" borderId="19" xfId="0" applyFont="1" applyFill="1" applyBorder="1" applyAlignment="1">
      <alignment horizontal="center"/>
    </xf>
    <xf numFmtId="0" fontId="27" fillId="2" borderId="11" xfId="0" applyFont="1" applyFill="1" applyBorder="1"/>
    <xf numFmtId="177" fontId="28" fillId="2" borderId="19" xfId="18" applyNumberFormat="1" applyFont="1" applyFill="1" applyBorder="1" applyAlignment="1">
      <alignment horizontal="center" vertical="center" wrapText="1"/>
    </xf>
    <xf numFmtId="167" fontId="28" fillId="2" borderId="0" xfId="18" applyFont="1" applyFill="1" applyBorder="1" applyAlignment="1">
      <alignment horizontal="center" vertical="center" wrapText="1"/>
    </xf>
    <xf numFmtId="177" fontId="28" fillId="2" borderId="0" xfId="18" applyNumberFormat="1" applyFont="1" applyFill="1" applyBorder="1" applyAlignment="1">
      <alignment horizontal="center" vertical="center" wrapText="1"/>
    </xf>
    <xf numFmtId="167" fontId="28" fillId="9" borderId="0" xfId="18" applyFont="1" applyFill="1" applyBorder="1" applyAlignment="1">
      <alignment horizontal="center" vertical="center" wrapText="1"/>
    </xf>
    <xf numFmtId="177" fontId="28" fillId="9" borderId="0" xfId="18" applyNumberFormat="1" applyFont="1" applyFill="1" applyBorder="1" applyAlignment="1">
      <alignment horizontal="center" vertical="center" wrapText="1"/>
    </xf>
    <xf numFmtId="177" fontId="28" fillId="9" borderId="19" xfId="18" applyNumberFormat="1" applyFont="1" applyFill="1" applyBorder="1" applyAlignment="1">
      <alignment horizontal="center" vertical="center" wrapText="1"/>
    </xf>
    <xf numFmtId="0" fontId="27" fillId="9" borderId="11" xfId="0" applyFont="1" applyFill="1" applyBorder="1"/>
    <xf numFmtId="181" fontId="28" fillId="9" borderId="0" xfId="18" applyNumberFormat="1" applyFont="1" applyFill="1" applyBorder="1" applyAlignment="1"/>
    <xf numFmtId="181" fontId="28" fillId="9" borderId="0" xfId="18" applyNumberFormat="1" applyFont="1" applyFill="1" applyBorder="1" applyAlignment="1">
      <alignment horizontal="center"/>
    </xf>
    <xf numFmtId="181" fontId="28" fillId="9" borderId="19" xfId="18" applyNumberFormat="1" applyFont="1" applyFill="1" applyBorder="1" applyAlignment="1">
      <alignment horizontal="center"/>
    </xf>
    <xf numFmtId="181" fontId="28" fillId="2" borderId="34" xfId="18" applyNumberFormat="1" applyFont="1" applyFill="1" applyBorder="1" applyAlignment="1"/>
    <xf numFmtId="181" fontId="28" fillId="2" borderId="34" xfId="18" applyNumberFormat="1" applyFont="1" applyFill="1" applyBorder="1" applyAlignment="1">
      <alignment horizontal="center"/>
    </xf>
    <xf numFmtId="181" fontId="28" fillId="2" borderId="46" xfId="18" applyNumberFormat="1" applyFont="1" applyFill="1" applyBorder="1" applyAlignment="1">
      <alignment horizontal="center"/>
    </xf>
    <xf numFmtId="181" fontId="28" fillId="2" borderId="0" xfId="18" applyNumberFormat="1" applyFont="1" applyFill="1" applyBorder="1" applyAlignment="1"/>
    <xf numFmtId="181" fontId="28" fillId="2" borderId="0" xfId="18" applyNumberFormat="1" applyFont="1" applyFill="1" applyBorder="1" applyAlignment="1">
      <alignment horizontal="center"/>
    </xf>
    <xf numFmtId="181" fontId="28" fillId="2" borderId="19" xfId="18" applyNumberFormat="1" applyFont="1" applyFill="1" applyBorder="1" applyAlignment="1">
      <alignment horizontal="center"/>
    </xf>
    <xf numFmtId="181" fontId="28" fillId="9" borderId="39" xfId="18" applyNumberFormat="1" applyFont="1" applyFill="1" applyBorder="1" applyAlignment="1"/>
    <xf numFmtId="181" fontId="28" fillId="9" borderId="39" xfId="18" applyNumberFormat="1" applyFont="1" applyFill="1" applyBorder="1" applyAlignment="1">
      <alignment horizontal="center"/>
    </xf>
    <xf numFmtId="181" fontId="28" fillId="9" borderId="47" xfId="18" applyNumberFormat="1" applyFont="1" applyFill="1" applyBorder="1" applyAlignment="1">
      <alignment horizontal="center"/>
    </xf>
    <xf numFmtId="167" fontId="28" fillId="2" borderId="11" xfId="18" applyFont="1" applyFill="1" applyBorder="1" applyAlignment="1"/>
    <xf numFmtId="181" fontId="28" fillId="2" borderId="34" xfId="18" applyNumberFormat="1" applyFont="1" applyFill="1" applyBorder="1" applyAlignment="1">
      <alignment horizontal="left"/>
    </xf>
    <xf numFmtId="181" fontId="28" fillId="2" borderId="46" xfId="18" applyNumberFormat="1" applyFont="1" applyFill="1" applyBorder="1" applyAlignment="1">
      <alignment horizontal="left"/>
    </xf>
    <xf numFmtId="0" fontId="27" fillId="2" borderId="48" xfId="0" applyFont="1" applyFill="1" applyBorder="1"/>
    <xf numFmtId="181" fontId="27" fillId="2" borderId="32" xfId="0" applyNumberFormat="1" applyFont="1" applyFill="1" applyBorder="1"/>
    <xf numFmtId="181" fontId="27" fillId="2" borderId="32" xfId="0" applyNumberFormat="1" applyFont="1" applyFill="1" applyBorder="1" applyAlignment="1">
      <alignment horizontal="left"/>
    </xf>
    <xf numFmtId="181" fontId="27" fillId="2" borderId="49" xfId="0" applyNumberFormat="1" applyFont="1" applyFill="1" applyBorder="1" applyAlignment="1">
      <alignment horizontal="left"/>
    </xf>
    <xf numFmtId="0" fontId="27" fillId="2" borderId="7" xfId="0" applyFont="1" applyFill="1" applyBorder="1"/>
    <xf numFmtId="181" fontId="27" fillId="2" borderId="5" xfId="0" applyNumberFormat="1" applyFont="1" applyFill="1" applyBorder="1"/>
    <xf numFmtId="181" fontId="27" fillId="2" borderId="5" xfId="0" applyNumberFormat="1" applyFont="1" applyFill="1" applyBorder="1" applyAlignment="1">
      <alignment horizontal="left"/>
    </xf>
    <xf numFmtId="181" fontId="27" fillId="2" borderId="2" xfId="0" applyNumberFormat="1" applyFont="1" applyFill="1" applyBorder="1" applyAlignment="1">
      <alignment horizontal="left"/>
    </xf>
    <xf numFmtId="0" fontId="27" fillId="5" borderId="33" xfId="0" applyFont="1" applyFill="1" applyBorder="1"/>
    <xf numFmtId="0" fontId="31" fillId="2" borderId="0" xfId="0" applyFont="1" applyFill="1"/>
    <xf numFmtId="0" fontId="31" fillId="0" borderId="0" xfId="0" applyFont="1"/>
    <xf numFmtId="0" fontId="28" fillId="0" borderId="25" xfId="0" applyFont="1" applyBorder="1"/>
    <xf numFmtId="176" fontId="28" fillId="2" borderId="11" xfId="18" applyNumberFormat="1" applyFont="1" applyFill="1" applyBorder="1" applyAlignment="1"/>
    <xf numFmtId="180" fontId="28" fillId="2" borderId="19" xfId="0" applyNumberFormat="1" applyFont="1" applyFill="1" applyBorder="1" applyAlignment="1">
      <alignment horizontal="center"/>
    </xf>
    <xf numFmtId="180" fontId="28" fillId="2" borderId="34" xfId="0" applyNumberFormat="1" applyFont="1" applyFill="1" applyBorder="1"/>
    <xf numFmtId="180" fontId="28" fillId="2" borderId="34" xfId="0" applyNumberFormat="1" applyFont="1" applyFill="1" applyBorder="1" applyAlignment="1">
      <alignment horizontal="center"/>
    </xf>
    <xf numFmtId="180" fontId="28" fillId="2" borderId="46" xfId="0" applyNumberFormat="1" applyFont="1" applyFill="1" applyBorder="1" applyAlignment="1">
      <alignment horizontal="center"/>
    </xf>
    <xf numFmtId="180" fontId="28" fillId="2" borderId="0" xfId="18" applyNumberFormat="1" applyFont="1" applyFill="1" applyBorder="1" applyAlignment="1">
      <alignment horizontal="center" vertical="center" wrapText="1"/>
    </xf>
    <xf numFmtId="180" fontId="28" fillId="2" borderId="19" xfId="18" applyNumberFormat="1" applyFont="1" applyFill="1" applyBorder="1" applyAlignment="1">
      <alignment horizontal="center" vertical="center" wrapText="1"/>
    </xf>
    <xf numFmtId="0" fontId="27" fillId="9" borderId="0" xfId="0" applyFont="1" applyFill="1" applyBorder="1"/>
    <xf numFmtId="0" fontId="27" fillId="9" borderId="0" xfId="0" applyFont="1" applyFill="1" applyBorder="1" applyAlignment="1">
      <alignment horizontal="center"/>
    </xf>
    <xf numFmtId="180" fontId="28" fillId="2" borderId="0" xfId="0" applyNumberFormat="1" applyFont="1" applyFill="1" applyBorder="1"/>
    <xf numFmtId="180" fontId="28" fillId="2" borderId="0" xfId="0" applyNumberFormat="1" applyFont="1" applyFill="1" applyBorder="1" applyAlignment="1">
      <alignment horizontal="center"/>
    </xf>
    <xf numFmtId="167" fontId="28" fillId="2" borderId="0" xfId="18" applyFont="1" applyFill="1" applyBorder="1" applyAlignment="1">
      <alignment horizontal="right" vertical="center" wrapText="1"/>
    </xf>
    <xf numFmtId="170" fontId="28" fillId="2" borderId="0" xfId="18" applyNumberFormat="1" applyFont="1" applyFill="1" applyBorder="1" applyAlignment="1">
      <alignment horizontal="right" vertical="center" wrapText="1"/>
    </xf>
    <xf numFmtId="1" fontId="28" fillId="2" borderId="0" xfId="18" applyNumberFormat="1" applyFont="1" applyFill="1" applyBorder="1" applyAlignment="1">
      <alignment horizontal="right" vertical="center" wrapText="1"/>
    </xf>
    <xf numFmtId="1" fontId="28" fillId="2" borderId="19" xfId="18" applyNumberFormat="1" applyFont="1" applyFill="1" applyBorder="1" applyAlignment="1">
      <alignment horizontal="right" vertical="center" wrapText="1"/>
    </xf>
    <xf numFmtId="0" fontId="28" fillId="2" borderId="0" xfId="0" applyFont="1" applyFill="1"/>
    <xf numFmtId="0" fontId="28" fillId="0" borderId="0" xfId="0" applyFont="1"/>
    <xf numFmtId="176" fontId="28" fillId="0" borderId="0" xfId="0" applyNumberFormat="1" applyFont="1"/>
    <xf numFmtId="9" fontId="28" fillId="0" borderId="0" xfId="115" applyFont="1"/>
    <xf numFmtId="0" fontId="28" fillId="5" borderId="0" xfId="0" applyFont="1" applyFill="1" applyAlignment="1">
      <alignment vertical="center" wrapText="1"/>
    </xf>
    <xf numFmtId="0" fontId="28" fillId="5" borderId="0" xfId="0" applyFont="1" applyFill="1" applyAlignment="1">
      <alignment wrapText="1"/>
    </xf>
    <xf numFmtId="0" fontId="28" fillId="5" borderId="0" xfId="0" applyFont="1" applyFill="1"/>
    <xf numFmtId="0" fontId="28" fillId="5" borderId="36" xfId="0" applyFont="1" applyFill="1" applyBorder="1"/>
    <xf numFmtId="2" fontId="28" fillId="5" borderId="34" xfId="0" applyNumberFormat="1" applyFont="1" applyFill="1" applyBorder="1"/>
    <xf numFmtId="2" fontId="28" fillId="5" borderId="38" xfId="0" applyNumberFormat="1" applyFont="1" applyFill="1" applyBorder="1"/>
    <xf numFmtId="180" fontId="28" fillId="5" borderId="38" xfId="0" applyNumberFormat="1" applyFont="1" applyFill="1" applyBorder="1"/>
    <xf numFmtId="0" fontId="27" fillId="5" borderId="16" xfId="0" applyFont="1" applyFill="1" applyBorder="1"/>
    <xf numFmtId="0" fontId="27" fillId="5" borderId="1" xfId="0" applyFont="1" applyFill="1" applyBorder="1" applyAlignment="1">
      <alignment horizontal="center" wrapText="1"/>
    </xf>
    <xf numFmtId="0" fontId="27" fillId="5" borderId="3" xfId="0" applyFont="1" applyFill="1" applyBorder="1" applyAlignment="1">
      <alignment horizontal="center" wrapText="1"/>
    </xf>
    <xf numFmtId="167" fontId="28" fillId="5" borderId="11" xfId="18" applyFont="1" applyFill="1" applyBorder="1" applyAlignment="1">
      <alignment horizontal="left"/>
    </xf>
    <xf numFmtId="176" fontId="28" fillId="5" borderId="0" xfId="0" applyNumberFormat="1" applyFont="1" applyFill="1" applyBorder="1"/>
    <xf numFmtId="176" fontId="28" fillId="5" borderId="19" xfId="0" applyNumberFormat="1" applyFont="1" applyFill="1" applyBorder="1"/>
    <xf numFmtId="0" fontId="28" fillId="5" borderId="11" xfId="0" applyFont="1" applyFill="1" applyBorder="1"/>
    <xf numFmtId="167" fontId="28" fillId="5" borderId="0" xfId="0" applyNumberFormat="1" applyFont="1" applyFill="1" applyBorder="1"/>
    <xf numFmtId="167" fontId="28" fillId="5" borderId="19" xfId="0" applyNumberFormat="1" applyFont="1" applyFill="1" applyBorder="1"/>
    <xf numFmtId="167" fontId="28" fillId="6" borderId="11" xfId="18" applyFont="1" applyFill="1" applyBorder="1" applyAlignment="1"/>
    <xf numFmtId="167" fontId="28" fillId="6" borderId="0" xfId="0" applyNumberFormat="1" applyFont="1" applyFill="1" applyBorder="1"/>
    <xf numFmtId="167" fontId="28" fillId="6" borderId="19" xfId="0" applyNumberFormat="1" applyFont="1" applyFill="1" applyBorder="1"/>
    <xf numFmtId="167" fontId="28" fillId="6" borderId="11" xfId="16" applyFont="1" applyFill="1" applyBorder="1" applyAlignment="1"/>
    <xf numFmtId="0" fontId="28" fillId="5" borderId="11" xfId="30" applyFont="1" applyFill="1" applyBorder="1"/>
    <xf numFmtId="176" fontId="28" fillId="6" borderId="11" xfId="0" applyNumberFormat="1" applyFont="1" applyFill="1" applyBorder="1"/>
    <xf numFmtId="176" fontId="28" fillId="6" borderId="0" xfId="0" applyNumberFormat="1" applyFont="1" applyFill="1" applyBorder="1"/>
    <xf numFmtId="176" fontId="28" fillId="6" borderId="19" xfId="0" applyNumberFormat="1" applyFont="1" applyFill="1" applyBorder="1"/>
    <xf numFmtId="0" fontId="28" fillId="6" borderId="11" xfId="30" applyFont="1" applyFill="1" applyBorder="1"/>
    <xf numFmtId="2" fontId="28" fillId="5" borderId="46" xfId="0" applyNumberFormat="1" applyFont="1" applyFill="1" applyBorder="1"/>
    <xf numFmtId="180" fontId="28" fillId="5" borderId="52" xfId="0" applyNumberFormat="1" applyFont="1" applyFill="1" applyBorder="1"/>
    <xf numFmtId="0" fontId="28" fillId="5" borderId="7" xfId="0" applyFont="1" applyFill="1" applyBorder="1"/>
    <xf numFmtId="2" fontId="28" fillId="5" borderId="53" xfId="0" applyNumberFormat="1" applyFont="1" applyFill="1" applyBorder="1"/>
    <xf numFmtId="180" fontId="28" fillId="5" borderId="53" xfId="0" applyNumberFormat="1" applyFont="1" applyFill="1" applyBorder="1"/>
    <xf numFmtId="180" fontId="28" fillId="5" borderId="54" xfId="0" applyNumberFormat="1" applyFont="1" applyFill="1" applyBorder="1"/>
    <xf numFmtId="0" fontId="33" fillId="0" borderId="0" xfId="114" applyFont="1"/>
    <xf numFmtId="0" fontId="33" fillId="0" borderId="11" xfId="114" applyFont="1" applyBorder="1"/>
    <xf numFmtId="0" fontId="33" fillId="0" borderId="19" xfId="114" applyFont="1" applyBorder="1"/>
    <xf numFmtId="1" fontId="33" fillId="0" borderId="19" xfId="114" applyNumberFormat="1" applyFont="1" applyBorder="1"/>
    <xf numFmtId="1" fontId="33" fillId="0" borderId="0" xfId="114" applyNumberFormat="1" applyFont="1"/>
    <xf numFmtId="0" fontId="33" fillId="0" borderId="7" xfId="114" applyFont="1" applyBorder="1"/>
    <xf numFmtId="1" fontId="33" fillId="0" borderId="5" xfId="114" applyNumberFormat="1" applyFont="1" applyBorder="1"/>
    <xf numFmtId="0" fontId="33" fillId="0" borderId="2" xfId="114" applyFont="1" applyBorder="1"/>
    <xf numFmtId="0" fontId="33" fillId="0" borderId="5" xfId="114" applyFont="1" applyBorder="1"/>
    <xf numFmtId="0" fontId="25" fillId="10" borderId="16" xfId="114" applyFont="1" applyFill="1" applyBorder="1" applyAlignment="1">
      <alignment horizontal="center"/>
    </xf>
    <xf numFmtId="0" fontId="25" fillId="10" borderId="17" xfId="114" applyFont="1" applyFill="1" applyBorder="1" applyAlignment="1">
      <alignment horizontal="center"/>
    </xf>
    <xf numFmtId="0" fontId="25" fillId="10" borderId="18" xfId="114" applyFont="1" applyFill="1" applyBorder="1" applyAlignment="1">
      <alignment horizontal="center"/>
    </xf>
    <xf numFmtId="0" fontId="25" fillId="0" borderId="0" xfId="114" applyFont="1"/>
    <xf numFmtId="0" fontId="25" fillId="10" borderId="16" xfId="114" applyFont="1" applyFill="1" applyBorder="1" applyAlignment="1">
      <alignment horizontal="center" vertical="center" wrapText="1"/>
    </xf>
    <xf numFmtId="0" fontId="25" fillId="10" borderId="17" xfId="114" applyFont="1" applyFill="1" applyBorder="1" applyAlignment="1">
      <alignment horizontal="center" vertical="center" wrapText="1"/>
    </xf>
    <xf numFmtId="0" fontId="25" fillId="10" borderId="18" xfId="114" applyFont="1" applyFill="1" applyBorder="1" applyAlignment="1">
      <alignment horizontal="center" vertical="center" wrapText="1"/>
    </xf>
    <xf numFmtId="0" fontId="33" fillId="0" borderId="0" xfId="114" applyFont="1" applyAlignment="1">
      <alignment vertical="center"/>
    </xf>
    <xf numFmtId="0" fontId="34" fillId="0" borderId="0" xfId="114" applyFont="1" applyAlignment="1">
      <alignment vertical="center"/>
    </xf>
    <xf numFmtId="0" fontId="25" fillId="10" borderId="16" xfId="114" applyFont="1" applyFill="1" applyBorder="1" applyAlignment="1">
      <alignment horizontal="center" vertical="center"/>
    </xf>
    <xf numFmtId="0" fontId="25" fillId="10" borderId="17" xfId="114" applyFont="1" applyFill="1" applyBorder="1" applyAlignment="1">
      <alignment horizontal="center" vertical="center"/>
    </xf>
    <xf numFmtId="0" fontId="25" fillId="10" borderId="18" xfId="114" applyFont="1" applyFill="1" applyBorder="1" applyAlignment="1">
      <alignment horizontal="center" vertical="center"/>
    </xf>
    <xf numFmtId="0" fontId="29" fillId="0" borderId="0" xfId="114" applyFont="1"/>
    <xf numFmtId="0" fontId="29" fillId="0" borderId="19" xfId="114" applyFont="1" applyBorder="1"/>
    <xf numFmtId="1" fontId="29" fillId="0" borderId="19" xfId="114" applyNumberFormat="1" applyFont="1" applyBorder="1"/>
    <xf numFmtId="1" fontId="29" fillId="0" borderId="0" xfId="114" applyNumberFormat="1" applyFont="1"/>
    <xf numFmtId="1" fontId="29" fillId="0" borderId="5" xfId="114" applyNumberFormat="1" applyFont="1" applyBorder="1"/>
    <xf numFmtId="0" fontId="29" fillId="0" borderId="2" xfId="114" applyFont="1" applyBorder="1"/>
    <xf numFmtId="0" fontId="29" fillId="0" borderId="5" xfId="114" applyFont="1" applyBorder="1"/>
    <xf numFmtId="0" fontId="28" fillId="0" borderId="11" xfId="114" applyFont="1" applyBorder="1"/>
    <xf numFmtId="0" fontId="28" fillId="0" borderId="7" xfId="114" applyFont="1" applyBorder="1"/>
    <xf numFmtId="0" fontId="28" fillId="0" borderId="0" xfId="114" applyFont="1"/>
    <xf numFmtId="0" fontId="34" fillId="0" borderId="11" xfId="114" applyFont="1" applyBorder="1"/>
    <xf numFmtId="0" fontId="34" fillId="0" borderId="7" xfId="114" applyFont="1" applyBorder="1"/>
    <xf numFmtId="0" fontId="34" fillId="0" borderId="0" xfId="114" applyFont="1"/>
    <xf numFmtId="1" fontId="29" fillId="0" borderId="19" xfId="114" applyNumberFormat="1" applyFont="1" applyBorder="1" applyAlignment="1">
      <alignment horizontal="center"/>
    </xf>
    <xf numFmtId="0" fontId="29" fillId="0" borderId="19" xfId="114" applyFont="1" applyBorder="1" applyAlignment="1">
      <alignment horizontal="center"/>
    </xf>
    <xf numFmtId="1" fontId="29" fillId="0" borderId="2" xfId="114" applyNumberFormat="1" applyFont="1" applyBorder="1" applyAlignment="1">
      <alignment horizontal="center"/>
    </xf>
    <xf numFmtId="0" fontId="33" fillId="0" borderId="0" xfId="114" applyFont="1" applyAlignment="1">
      <alignment horizontal="center"/>
    </xf>
    <xf numFmtId="0" fontId="25" fillId="0" borderId="0" xfId="114" applyFont="1" applyAlignment="1">
      <alignment horizontal="center"/>
    </xf>
    <xf numFmtId="1" fontId="33" fillId="0" borderId="19" xfId="114" applyNumberFormat="1" applyFont="1" applyBorder="1" applyAlignment="1">
      <alignment horizontal="center"/>
    </xf>
    <xf numFmtId="0" fontId="33" fillId="0" borderId="19" xfId="114" applyFont="1" applyBorder="1" applyAlignment="1">
      <alignment horizontal="center"/>
    </xf>
    <xf numFmtId="1" fontId="33" fillId="0" borderId="2" xfId="114" applyNumberFormat="1" applyFont="1" applyBorder="1" applyAlignment="1">
      <alignment horizontal="center"/>
    </xf>
    <xf numFmtId="0" fontId="29" fillId="7" borderId="0" xfId="30" applyFont="1" applyFill="1" applyBorder="1" applyProtection="1">
      <protection hidden="1"/>
    </xf>
    <xf numFmtId="0" fontId="29" fillId="7" borderId="0" xfId="0" applyFont="1" applyFill="1" applyBorder="1" applyAlignment="1" applyProtection="1">
      <alignment horizontal="left" vertical="center"/>
      <protection hidden="1"/>
    </xf>
    <xf numFmtId="0" fontId="29" fillId="7" borderId="0" xfId="0" applyFont="1" applyFill="1" applyBorder="1" applyProtection="1">
      <protection hidden="1"/>
    </xf>
    <xf numFmtId="0" fontId="29" fillId="7" borderId="17" xfId="30" applyFont="1" applyFill="1" applyBorder="1" applyProtection="1">
      <protection hidden="1"/>
    </xf>
    <xf numFmtId="0" fontId="29" fillId="7" borderId="18" xfId="30" applyFont="1" applyFill="1" applyBorder="1"/>
    <xf numFmtId="0" fontId="29" fillId="7" borderId="19" xfId="30" applyFont="1" applyFill="1" applyBorder="1"/>
    <xf numFmtId="0" fontId="29" fillId="7" borderId="7" xfId="30" applyFont="1" applyFill="1" applyBorder="1" applyAlignment="1">
      <alignment vertical="center"/>
    </xf>
    <xf numFmtId="0" fontId="29" fillId="7" borderId="5" xfId="30" applyFont="1" applyFill="1" applyBorder="1" applyProtection="1">
      <protection hidden="1"/>
    </xf>
    <xf numFmtId="0" fontId="29" fillId="7" borderId="2" xfId="30" applyFont="1" applyFill="1" applyBorder="1"/>
    <xf numFmtId="0" fontId="29" fillId="7" borderId="16" xfId="0" applyFont="1" applyFill="1" applyBorder="1" applyAlignment="1" applyProtection="1">
      <alignment horizontal="left" vertical="center"/>
      <protection hidden="1"/>
    </xf>
    <xf numFmtId="0" fontId="29" fillId="7" borderId="17" xfId="0" applyFont="1" applyFill="1" applyBorder="1" applyAlignment="1" applyProtection="1">
      <alignment horizontal="left" vertical="center"/>
      <protection hidden="1"/>
    </xf>
    <xf numFmtId="0" fontId="29" fillId="7" borderId="18" xfId="0" applyFont="1" applyFill="1" applyBorder="1" applyProtection="1">
      <protection hidden="1"/>
    </xf>
    <xf numFmtId="0" fontId="29" fillId="7" borderId="11" xfId="0" applyFont="1" applyFill="1" applyBorder="1" applyAlignment="1" applyProtection="1">
      <alignment horizontal="left" vertical="center"/>
      <protection hidden="1"/>
    </xf>
    <xf numFmtId="0" fontId="29" fillId="7" borderId="7" xfId="0" applyFont="1" applyFill="1" applyBorder="1" applyAlignment="1" applyProtection="1">
      <alignment horizontal="left" vertical="center"/>
      <protection hidden="1"/>
    </xf>
    <xf numFmtId="0" fontId="29" fillId="7" borderId="5" xfId="0" applyFont="1" applyFill="1" applyBorder="1" applyAlignment="1" applyProtection="1">
      <alignment horizontal="left" vertical="center"/>
      <protection hidden="1"/>
    </xf>
    <xf numFmtId="173" fontId="28" fillId="2" borderId="4" xfId="0" applyNumberFormat="1" applyFont="1" applyFill="1" applyBorder="1" applyProtection="1">
      <protection hidden="1"/>
    </xf>
    <xf numFmtId="179" fontId="28" fillId="9" borderId="4" xfId="0" applyNumberFormat="1" applyFont="1" applyFill="1" applyBorder="1" applyAlignment="1" applyProtection="1">
      <alignment horizontal="right"/>
      <protection hidden="1"/>
    </xf>
    <xf numFmtId="0" fontId="30" fillId="8" borderId="1" xfId="30" applyFont="1" applyFill="1" applyBorder="1" applyAlignment="1">
      <alignment horizontal="left" wrapText="1"/>
    </xf>
    <xf numFmtId="0" fontId="30" fillId="8" borderId="3" xfId="30" applyFont="1" applyFill="1" applyBorder="1" applyAlignment="1">
      <alignment horizontal="left" wrapText="1"/>
    </xf>
    <xf numFmtId="0" fontId="29" fillId="7" borderId="17" xfId="0" applyFont="1" applyFill="1" applyBorder="1" applyProtection="1">
      <protection hidden="1"/>
    </xf>
    <xf numFmtId="0" fontId="29" fillId="7" borderId="5" xfId="0" applyFont="1" applyFill="1" applyBorder="1" applyProtection="1">
      <protection hidden="1"/>
    </xf>
    <xf numFmtId="170" fontId="28" fillId="0" borderId="25" xfId="0" applyNumberFormat="1" applyFont="1" applyBorder="1" applyAlignment="1">
      <alignment horizontal="center"/>
    </xf>
    <xf numFmtId="0" fontId="27" fillId="2" borderId="35" xfId="0" applyFont="1" applyFill="1" applyBorder="1"/>
    <xf numFmtId="175" fontId="27" fillId="2" borderId="0" xfId="0" applyNumberFormat="1" applyFont="1" applyFill="1" applyBorder="1"/>
    <xf numFmtId="0" fontId="28" fillId="2" borderId="10" xfId="0" applyFont="1" applyFill="1" applyBorder="1" applyAlignment="1">
      <alignment vertical="center" wrapText="1"/>
    </xf>
    <xf numFmtId="0" fontId="28" fillId="2" borderId="1" xfId="0" applyFont="1" applyFill="1" applyBorder="1" applyAlignment="1">
      <alignment vertical="center" wrapText="1"/>
    </xf>
    <xf numFmtId="0" fontId="28" fillId="2" borderId="1" xfId="0" applyFont="1" applyFill="1" applyBorder="1" applyAlignment="1">
      <alignment wrapText="1"/>
    </xf>
    <xf numFmtId="0" fontId="28" fillId="2" borderId="3" xfId="0" applyFont="1" applyFill="1" applyBorder="1" applyAlignment="1">
      <alignment wrapText="1"/>
    </xf>
  </cellXfs>
  <cellStyles count="116">
    <cellStyle name="Comma 2" xfId="1" xr:uid="{00000000-0005-0000-0000-000000000000}"/>
    <cellStyle name="Comma 2 2" xfId="2" xr:uid="{00000000-0005-0000-0000-000001000000}"/>
    <cellStyle name="Comma 2 3" xfId="3" xr:uid="{00000000-0005-0000-0000-000002000000}"/>
    <cellStyle name="Comma 2 4" xfId="4" xr:uid="{00000000-0005-0000-0000-000003000000}"/>
    <cellStyle name="Comma 3" xfId="5" xr:uid="{00000000-0005-0000-0000-000004000000}"/>
    <cellStyle name="Comma 3 2" xfId="6" xr:uid="{00000000-0005-0000-0000-000005000000}"/>
    <cellStyle name="Comma 3 3" xfId="7" xr:uid="{00000000-0005-0000-0000-000006000000}"/>
    <cellStyle name="Comma 3 3 2" xfId="8" xr:uid="{00000000-0005-0000-0000-000007000000}"/>
    <cellStyle name="Comma 3 4" xfId="9" xr:uid="{00000000-0005-0000-0000-000008000000}"/>
    <cellStyle name="Comma 4" xfId="10" xr:uid="{00000000-0005-0000-0000-000009000000}"/>
    <cellStyle name="Comma 4 2" xfId="11" xr:uid="{00000000-0005-0000-0000-00000A000000}"/>
    <cellStyle name="Comma 5" xfId="12" xr:uid="{00000000-0005-0000-0000-00000B000000}"/>
    <cellStyle name="Comma 5 2" xfId="13" xr:uid="{00000000-0005-0000-0000-00000C000000}"/>
    <cellStyle name="Comma 5 3" xfId="14" xr:uid="{00000000-0005-0000-0000-00000D000000}"/>
    <cellStyle name="Comma 5 3 2" xfId="15" xr:uid="{00000000-0005-0000-0000-00000E000000}"/>
    <cellStyle name="Comma 6" xfId="16" xr:uid="{00000000-0005-0000-0000-00000F000000}"/>
    <cellStyle name="Comma 6 2" xfId="17" xr:uid="{00000000-0005-0000-0000-000010000000}"/>
    <cellStyle name="Comma 6 3" xfId="18" xr:uid="{00000000-0005-0000-0000-000011000000}"/>
    <cellStyle name="Comma 6 3 2" xfId="19" xr:uid="{00000000-0005-0000-0000-000012000000}"/>
    <cellStyle name="Comma 7" xfId="20" xr:uid="{00000000-0005-0000-0000-000013000000}"/>
    <cellStyle name="Comma 7 2" xfId="21" xr:uid="{00000000-0005-0000-0000-000014000000}"/>
    <cellStyle name="Currency 2" xfId="22" xr:uid="{00000000-0005-0000-0000-000015000000}"/>
    <cellStyle name="Currency 3" xfId="23" xr:uid="{00000000-0005-0000-0000-000016000000}"/>
    <cellStyle name="Currency 3 2" xfId="24" xr:uid="{00000000-0005-0000-0000-000017000000}"/>
    <cellStyle name="Hyperlink 2" xfId="25" xr:uid="{00000000-0005-0000-0000-000018000000}"/>
    <cellStyle name="Hyperlink 2 2" xfId="26" xr:uid="{00000000-0005-0000-0000-000019000000}"/>
    <cellStyle name="Hyperlink 2 3" xfId="27" xr:uid="{00000000-0005-0000-0000-00001A000000}"/>
    <cellStyle name="Hyperlink 3" xfId="28" xr:uid="{00000000-0005-0000-0000-00001B000000}"/>
    <cellStyle name="Hyperlink 3 2" xfId="29" xr:uid="{00000000-0005-0000-0000-00001C000000}"/>
    <cellStyle name="Normal" xfId="0" builtinId="0"/>
    <cellStyle name="Normal 10" xfId="114" xr:uid="{2DEE6BA0-D024-437A-8C00-D199E6E65569}"/>
    <cellStyle name="Normal 2" xfId="30" xr:uid="{00000000-0005-0000-0000-00001E000000}"/>
    <cellStyle name="Normal 2 2" xfId="31" xr:uid="{00000000-0005-0000-0000-00001F000000}"/>
    <cellStyle name="Normal 2 2 2" xfId="32" xr:uid="{00000000-0005-0000-0000-000020000000}"/>
    <cellStyle name="Normal 2 2 2 2" xfId="33" xr:uid="{00000000-0005-0000-0000-000021000000}"/>
    <cellStyle name="Normal 2 2 2 3" xfId="34" xr:uid="{00000000-0005-0000-0000-000022000000}"/>
    <cellStyle name="Normal 2 2 3" xfId="35" xr:uid="{00000000-0005-0000-0000-000023000000}"/>
    <cellStyle name="Normal 2 2 4" xfId="36" xr:uid="{00000000-0005-0000-0000-000024000000}"/>
    <cellStyle name="Normal 2 2 5" xfId="37" xr:uid="{00000000-0005-0000-0000-000025000000}"/>
    <cellStyle name="Normal 2 3" xfId="38" xr:uid="{00000000-0005-0000-0000-000026000000}"/>
    <cellStyle name="Normal 2 3 2" xfId="39" xr:uid="{00000000-0005-0000-0000-000027000000}"/>
    <cellStyle name="Normal 2 3 3" xfId="40" xr:uid="{00000000-0005-0000-0000-000028000000}"/>
    <cellStyle name="Normal 2 4" xfId="41" xr:uid="{00000000-0005-0000-0000-000029000000}"/>
    <cellStyle name="Normal 2 5" xfId="42" xr:uid="{00000000-0005-0000-0000-00002A000000}"/>
    <cellStyle name="Normal 2 6" xfId="43" xr:uid="{00000000-0005-0000-0000-00002B000000}"/>
    <cellStyle name="Normal 3" xfId="44" xr:uid="{00000000-0005-0000-0000-00002C000000}"/>
    <cellStyle name="Normal 3 2" xfId="45" xr:uid="{00000000-0005-0000-0000-00002D000000}"/>
    <cellStyle name="Normal 3 2 2" xfId="46" xr:uid="{00000000-0005-0000-0000-00002E000000}"/>
    <cellStyle name="Normal 3 2 3" xfId="47" xr:uid="{00000000-0005-0000-0000-00002F000000}"/>
    <cellStyle name="Normal 3 2 4" xfId="48" xr:uid="{00000000-0005-0000-0000-000030000000}"/>
    <cellStyle name="Normal 3 2 4 2" xfId="49" xr:uid="{00000000-0005-0000-0000-000031000000}"/>
    <cellStyle name="Normal 3 2 4 3" xfId="50" xr:uid="{00000000-0005-0000-0000-000032000000}"/>
    <cellStyle name="Normal 3 2 5" xfId="51" xr:uid="{00000000-0005-0000-0000-000033000000}"/>
    <cellStyle name="Normal 3 3" xfId="52" xr:uid="{00000000-0005-0000-0000-000034000000}"/>
    <cellStyle name="Normal 3 4" xfId="53" xr:uid="{00000000-0005-0000-0000-000035000000}"/>
    <cellStyle name="Normal 3 5" xfId="54" xr:uid="{00000000-0005-0000-0000-000036000000}"/>
    <cellStyle name="Normal 4" xfId="55" xr:uid="{00000000-0005-0000-0000-000037000000}"/>
    <cellStyle name="Normal 4 2" xfId="56" xr:uid="{00000000-0005-0000-0000-000038000000}"/>
    <cellStyle name="Normal 4 2 2" xfId="57" xr:uid="{00000000-0005-0000-0000-000039000000}"/>
    <cellStyle name="Normal 4 2 3" xfId="58" xr:uid="{00000000-0005-0000-0000-00003A000000}"/>
    <cellStyle name="Normal 4 3" xfId="59" xr:uid="{00000000-0005-0000-0000-00003B000000}"/>
    <cellStyle name="Normal 5" xfId="60" xr:uid="{00000000-0005-0000-0000-00003C000000}"/>
    <cellStyle name="Normal 5 2" xfId="61" xr:uid="{00000000-0005-0000-0000-00003D000000}"/>
    <cellStyle name="Normal 5 3" xfId="62" xr:uid="{00000000-0005-0000-0000-00003E000000}"/>
    <cellStyle name="Normal 5 4" xfId="63" xr:uid="{00000000-0005-0000-0000-00003F000000}"/>
    <cellStyle name="Normal 6" xfId="64" xr:uid="{00000000-0005-0000-0000-000040000000}"/>
    <cellStyle name="Normal 6 2" xfId="65" xr:uid="{00000000-0005-0000-0000-000041000000}"/>
    <cellStyle name="Normal 6 3" xfId="66" xr:uid="{00000000-0005-0000-0000-000042000000}"/>
    <cellStyle name="Normal 6 3 2" xfId="67" xr:uid="{00000000-0005-0000-0000-000043000000}"/>
    <cellStyle name="Normal 6 3 3" xfId="68" xr:uid="{00000000-0005-0000-0000-000044000000}"/>
    <cellStyle name="Normal 7" xfId="69" xr:uid="{00000000-0005-0000-0000-000045000000}"/>
    <cellStyle name="Normal 7 2" xfId="70" xr:uid="{00000000-0005-0000-0000-000046000000}"/>
    <cellStyle name="Normal 8" xfId="71" xr:uid="{00000000-0005-0000-0000-000047000000}"/>
    <cellStyle name="Normal 9" xfId="72" xr:uid="{00000000-0005-0000-0000-000048000000}"/>
    <cellStyle name="Normal 9 2" xfId="73" xr:uid="{00000000-0005-0000-0000-000049000000}"/>
    <cellStyle name="Per cent" xfId="115" builtinId="5"/>
    <cellStyle name="Percent 10" xfId="74" xr:uid="{00000000-0005-0000-0000-00004A000000}"/>
    <cellStyle name="Percent 10 2" xfId="75" xr:uid="{00000000-0005-0000-0000-00004B000000}"/>
    <cellStyle name="Percent 10 3" xfId="76" xr:uid="{00000000-0005-0000-0000-00004C000000}"/>
    <cellStyle name="Percent 10 4" xfId="77" xr:uid="{00000000-0005-0000-0000-00004D000000}"/>
    <cellStyle name="Percent 2" xfId="78" xr:uid="{00000000-0005-0000-0000-00004E000000}"/>
    <cellStyle name="Percent 2 2" xfId="79" xr:uid="{00000000-0005-0000-0000-00004F000000}"/>
    <cellStyle name="Percent 2 3" xfId="80" xr:uid="{00000000-0005-0000-0000-000050000000}"/>
    <cellStyle name="Percent 2 3 2" xfId="81" xr:uid="{00000000-0005-0000-0000-000051000000}"/>
    <cellStyle name="Percent 2 3 3" xfId="82" xr:uid="{00000000-0005-0000-0000-000052000000}"/>
    <cellStyle name="Percent 2 3 4" xfId="83" xr:uid="{00000000-0005-0000-0000-000053000000}"/>
    <cellStyle name="Percent 2 4" xfId="84" xr:uid="{00000000-0005-0000-0000-000054000000}"/>
    <cellStyle name="Percent 2 5" xfId="85" xr:uid="{00000000-0005-0000-0000-000055000000}"/>
    <cellStyle name="Percent 2 5 2" xfId="86" xr:uid="{00000000-0005-0000-0000-000056000000}"/>
    <cellStyle name="Percent 3" xfId="87" xr:uid="{00000000-0005-0000-0000-000057000000}"/>
    <cellStyle name="Percent 3 2" xfId="88" xr:uid="{00000000-0005-0000-0000-000058000000}"/>
    <cellStyle name="Percent 4" xfId="89" xr:uid="{00000000-0005-0000-0000-000059000000}"/>
    <cellStyle name="Percent 4 2" xfId="90" xr:uid="{00000000-0005-0000-0000-00005A000000}"/>
    <cellStyle name="Percent 5" xfId="91" xr:uid="{00000000-0005-0000-0000-00005B000000}"/>
    <cellStyle name="Percent 5 2" xfId="92" xr:uid="{00000000-0005-0000-0000-00005C000000}"/>
    <cellStyle name="Percent 5 2 2" xfId="93" xr:uid="{00000000-0005-0000-0000-00005D000000}"/>
    <cellStyle name="Percent 5 2 3" xfId="94" xr:uid="{00000000-0005-0000-0000-00005E000000}"/>
    <cellStyle name="Percent 5 2 3 2" xfId="95" xr:uid="{00000000-0005-0000-0000-00005F000000}"/>
    <cellStyle name="Percent 5 3" xfId="96" xr:uid="{00000000-0005-0000-0000-000060000000}"/>
    <cellStyle name="Percent 5 3 2" xfId="97" xr:uid="{00000000-0005-0000-0000-000061000000}"/>
    <cellStyle name="Percent 6" xfId="98" xr:uid="{00000000-0005-0000-0000-000062000000}"/>
    <cellStyle name="Percent 6 2" xfId="99" xr:uid="{00000000-0005-0000-0000-000063000000}"/>
    <cellStyle name="Percent 6 3" xfId="100" xr:uid="{00000000-0005-0000-0000-000064000000}"/>
    <cellStyle name="Percent 6 3 2" xfId="101" xr:uid="{00000000-0005-0000-0000-000065000000}"/>
    <cellStyle name="Percent 7" xfId="102" xr:uid="{00000000-0005-0000-0000-000066000000}"/>
    <cellStyle name="Percent 7 2" xfId="103" xr:uid="{00000000-0005-0000-0000-000067000000}"/>
    <cellStyle name="Percent 7 3" xfId="104" xr:uid="{00000000-0005-0000-0000-000068000000}"/>
    <cellStyle name="Percent 7 4" xfId="105" xr:uid="{00000000-0005-0000-0000-000069000000}"/>
    <cellStyle name="Percent 7 4 2" xfId="106" xr:uid="{00000000-0005-0000-0000-00006A000000}"/>
    <cellStyle name="Percent 7 5" xfId="107" xr:uid="{00000000-0005-0000-0000-00006B000000}"/>
    <cellStyle name="Percent 7 5 2" xfId="108" xr:uid="{00000000-0005-0000-0000-00006C000000}"/>
    <cellStyle name="Percent 8" xfId="109" xr:uid="{00000000-0005-0000-0000-00006D000000}"/>
    <cellStyle name="Percent 8 2" xfId="110" xr:uid="{00000000-0005-0000-0000-00006E000000}"/>
    <cellStyle name="Percent 8 3" xfId="111" xr:uid="{00000000-0005-0000-0000-00006F000000}"/>
    <cellStyle name="Percent 8 3 2" xfId="112" xr:uid="{00000000-0005-0000-0000-000070000000}"/>
    <cellStyle name="Percent 9" xfId="113" xr:uid="{00000000-0005-0000-0000-000071000000}"/>
  </cellStyles>
  <dxfs count="59">
    <dxf>
      <font>
        <b/>
        <strike val="0"/>
        <outline val="0"/>
        <shadow val="0"/>
        <u val="none"/>
        <vertAlign val="baseline"/>
        <sz val="11"/>
        <name val="Aptos"/>
        <family val="2"/>
        <scheme val="none"/>
      </font>
    </dxf>
    <dxf>
      <font>
        <b/>
        <strike val="0"/>
        <outline val="0"/>
        <shadow val="0"/>
        <u val="none"/>
        <vertAlign val="baseline"/>
        <sz val="11"/>
        <name val="Aptos"/>
        <family val="2"/>
        <scheme val="none"/>
      </font>
      <fill>
        <patternFill patternType="solid">
          <fgColor indexed="64"/>
          <bgColor indexed="9"/>
        </patternFill>
      </fill>
    </dxf>
    <dxf>
      <font>
        <b/>
        <strike val="0"/>
        <outline val="0"/>
        <shadow val="0"/>
        <u val="none"/>
        <vertAlign val="baseline"/>
        <sz val="11"/>
        <name val="Aptos"/>
        <family val="2"/>
        <scheme val="none"/>
      </font>
      <border diagonalUp="0" diagonalDown="0" outline="0">
        <left/>
        <right style="medium">
          <color indexed="64"/>
        </right>
      </border>
    </dxf>
    <dxf>
      <font>
        <b/>
        <strike val="0"/>
        <outline val="0"/>
        <shadow val="0"/>
        <u val="none"/>
        <vertAlign val="baseline"/>
        <sz val="11"/>
        <name val="Aptos"/>
        <family val="2"/>
        <scheme val="none"/>
      </font>
    </dxf>
    <dxf>
      <font>
        <b/>
        <strike val="0"/>
        <outline val="0"/>
        <shadow val="0"/>
        <u val="none"/>
        <vertAlign val="baseline"/>
        <sz val="11"/>
        <name val="Aptos"/>
        <family val="2"/>
        <scheme val="none"/>
      </font>
    </dxf>
    <dxf>
      <font>
        <b/>
        <strike val="0"/>
        <outline val="0"/>
        <shadow val="0"/>
        <u val="none"/>
        <vertAlign val="baseline"/>
        <sz val="11"/>
        <name val="Aptos"/>
        <family val="2"/>
        <scheme val="none"/>
      </font>
    </dxf>
    <dxf>
      <font>
        <b/>
        <strike val="0"/>
        <outline val="0"/>
        <shadow val="0"/>
        <u val="none"/>
        <vertAlign val="baseline"/>
        <sz val="11"/>
        <name val="Aptos"/>
        <family val="2"/>
        <scheme val="none"/>
      </font>
    </dxf>
    <dxf>
      <font>
        <b/>
        <strike val="0"/>
        <outline val="0"/>
        <shadow val="0"/>
        <u val="none"/>
        <vertAlign val="baseline"/>
        <sz val="11"/>
        <name val="Aptos"/>
        <family val="2"/>
        <scheme val="none"/>
      </font>
    </dxf>
    <dxf>
      <font>
        <b/>
        <strike val="0"/>
        <outline val="0"/>
        <shadow val="0"/>
        <u val="none"/>
        <vertAlign val="baseline"/>
        <sz val="11"/>
        <name val="Aptos"/>
        <family val="2"/>
        <scheme val="none"/>
      </font>
    </dxf>
    <dxf>
      <font>
        <b/>
        <i val="0"/>
        <strike val="0"/>
        <condense val="0"/>
        <extend val="0"/>
        <outline val="0"/>
        <shadow val="0"/>
        <u val="none"/>
        <vertAlign val="baseline"/>
        <sz val="11"/>
        <color indexed="8"/>
        <name val="Aptos"/>
        <family val="2"/>
        <scheme val="none"/>
      </font>
      <fill>
        <patternFill patternType="solid">
          <fgColor indexed="64"/>
          <bgColor indexed="9"/>
        </patternFill>
      </fill>
      <border diagonalUp="0" diagonalDown="0" outline="0">
        <left style="medium">
          <color indexed="64"/>
        </left>
        <right/>
        <top/>
        <bottom style="thin">
          <color indexed="64"/>
        </bottom>
      </border>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border outline="0">
        <top style="thin">
          <color indexed="64"/>
        </top>
        <bottom style="thin">
          <color indexed="64"/>
        </bottom>
      </border>
    </dxf>
  </dxfs>
  <tableStyles count="1" defaultTableStyle="TableStyleMedium9" defaultPivotStyle="PivotStyleLight16">
    <tableStyle name="Invisible" pivot="0" table="0" count="0" xr9:uid="{EFDA0692-24F8-4D34-9E64-83E58002D9BE}"/>
  </tableStyles>
  <colors>
    <mruColors>
      <color rgb="FFAD9244"/>
      <color rgb="FF3A63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333333"/>
                </a:solidFill>
                <a:latin typeface="Calibri"/>
                <a:ea typeface="Calibri"/>
                <a:cs typeface="Calibri"/>
              </a:defRPr>
            </a:pPr>
            <a:r>
              <a:rPr lang="en-ZA"/>
              <a:t>Margin Comparison / Marge Vergelyking: Northwest Free State  R/ha)</a:t>
            </a:r>
          </a:p>
        </c:rich>
      </c:tx>
      <c:overlay val="0"/>
      <c:spPr>
        <a:noFill/>
        <a:ln w="25400">
          <a:noFill/>
        </a:ln>
      </c:spPr>
    </c:title>
    <c:autoTitleDeleted val="0"/>
    <c:plotArea>
      <c:layout>
        <c:manualLayout>
          <c:layoutTarget val="inner"/>
          <c:xMode val="edge"/>
          <c:yMode val="edge"/>
          <c:x val="8.9216600560370604E-2"/>
          <c:y val="0.11367393648578078"/>
          <c:w val="0.89034990337495268"/>
          <c:h val="0.69319330876508889"/>
        </c:manualLayout>
      </c:layout>
      <c:barChart>
        <c:barDir val="col"/>
        <c:grouping val="clustered"/>
        <c:varyColors val="0"/>
        <c:ser>
          <c:idx val="0"/>
          <c:order val="0"/>
          <c:tx>
            <c:strRef>
              <c:f>'Crop Comparison'!$A$33</c:f>
              <c:strCache>
                <c:ptCount val="1"/>
                <c:pt idx="0">
                  <c:v>3) GROSS MARGIN  (R/ha)</c:v>
                </c:pt>
              </c:strCache>
            </c:strRef>
          </c:tx>
          <c:spPr>
            <a:solidFill>
              <a:schemeClr val="bg1"/>
            </a:solidFill>
            <a:ln w="25400">
              <a:solidFill>
                <a:schemeClr val="accent1"/>
              </a:solidFill>
            </a:ln>
            <a:effectLst/>
          </c:spPr>
          <c:invertIfNegative val="0"/>
          <c:dLbls>
            <c:spPr>
              <a:noFill/>
              <a:ln w="9525" cap="flat" cmpd="sng" algn="ctr">
                <a:solidFill>
                  <a:schemeClr val="accent1">
                    <a:shade val="95000"/>
                    <a:satMod val="105000"/>
                  </a:schemeClr>
                </a:solidFill>
                <a:prstDash val="solid"/>
              </a:ln>
              <a:effectLst>
                <a:outerShdw blurRad="40000" dist="20000" dir="5400000" rotWithShape="0">
                  <a:srgbClr val="000000">
                    <a:alpha val="38000"/>
                  </a:srgbClr>
                </a:outerShdw>
              </a:effectLst>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'Crop Comparison'!$B$2:$H$2</c15:sqref>
                  </c15:fullRef>
                </c:ext>
              </c:extLst>
              <c:f>'Crop Comparison'!$B$2:$G$2</c:f>
              <c:strCache>
                <c:ptCount val="6"/>
                <c:pt idx="0">
                  <c:v>Maize (lower yield)</c:v>
                </c:pt>
                <c:pt idx="1">
                  <c:v>Maize (higher yield)</c:v>
                </c:pt>
                <c:pt idx="2">
                  <c:v>Maize (Bt)</c:v>
                </c:pt>
                <c:pt idx="3">
                  <c:v>Sunflower</c:v>
                </c:pt>
                <c:pt idx="4">
                  <c:v>Soybean</c:v>
                </c:pt>
                <c:pt idx="5">
                  <c:v>Grain Sorghum</c:v>
                </c:pt>
              </c:strCache>
            </c:strRef>
          </c:cat>
          <c:val>
            <c:numRef>
              <c:extLst>
                <c:ext xmlns:c15="http://schemas.microsoft.com/office/drawing/2012/chart" uri="{02D57815-91ED-43cb-92C2-25804820EDAC}">
                  <c15:fullRef>
                    <c15:sqref>'Crop Comparison'!$B$33:$H$33</c15:sqref>
                  </c15:fullRef>
                </c:ext>
              </c:extLst>
              <c:f>'Crop Comparison'!$B$33:$G$33</c:f>
              <c:numCache>
                <c:formatCode>_ [$R-1C09]\ * #\ ##0_ ;_ [$R-1C09]\ * \-#\ ##0_ ;_ [$R-1C09]\ * "-"??_ ;_ @_ </c:formatCode>
                <c:ptCount val="6"/>
                <c:pt idx="0">
                  <c:v>-2126.1518995850438</c:v>
                </c:pt>
                <c:pt idx="1">
                  <c:v>-1472.6894545177529</c:v>
                </c:pt>
                <c:pt idx="2">
                  <c:v>-3009.9059951306808</c:v>
                </c:pt>
                <c:pt idx="3">
                  <c:v>3008.9711245290582</c:v>
                </c:pt>
                <c:pt idx="4">
                  <c:v>221.98199856238352</c:v>
                </c:pt>
                <c:pt idx="5">
                  <c:v>-610.6053787132314</c:v>
                </c:pt>
              </c:numCache>
            </c:numRef>
          </c:val>
          <c:extLst>
            <c:ext xmlns:c16="http://schemas.microsoft.com/office/drawing/2014/chart" uri="{C3380CC4-5D6E-409C-BE32-E72D297353CC}">
              <c16:uniqueId val="{00000000-AD9F-4852-B5E8-1AF301A39B84}"/>
            </c:ext>
          </c:extLst>
        </c:ser>
        <c:ser>
          <c:idx val="1"/>
          <c:order val="1"/>
          <c:tx>
            <c:strRef>
              <c:f>'Crop Comparison'!$A$34</c:f>
              <c:strCache>
                <c:ptCount val="1"/>
                <c:pt idx="0">
                  <c:v>4) NETT MARGIN  (R/ha)</c:v>
                </c:pt>
              </c:strCache>
            </c:strRef>
          </c:tx>
          <c:spPr>
            <a:noFill/>
            <a:ln w="31750">
              <a:solidFill>
                <a:srgbClr val="FF0000"/>
              </a:solidFill>
            </a:ln>
          </c:spPr>
          <c:invertIfNegative val="0"/>
          <c:dLbls>
            <c:spPr>
              <a:ln>
                <a:solidFill>
                  <a:srgbClr val="FF0000"/>
                </a:solid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'Crop Comparison'!$B$2:$H$2</c15:sqref>
                  </c15:fullRef>
                </c:ext>
              </c:extLst>
              <c:f>'Crop Comparison'!$B$2:$G$2</c:f>
              <c:strCache>
                <c:ptCount val="6"/>
                <c:pt idx="0">
                  <c:v>Maize (lower yield)</c:v>
                </c:pt>
                <c:pt idx="1">
                  <c:v>Maize (higher yield)</c:v>
                </c:pt>
                <c:pt idx="2">
                  <c:v>Maize (Bt)</c:v>
                </c:pt>
                <c:pt idx="3">
                  <c:v>Sunflower</c:v>
                </c:pt>
                <c:pt idx="4">
                  <c:v>Soybean</c:v>
                </c:pt>
                <c:pt idx="5">
                  <c:v>Grain Sorghum</c:v>
                </c:pt>
              </c:strCache>
            </c:strRef>
          </c:cat>
          <c:val>
            <c:numRef>
              <c:extLst>
                <c:ext xmlns:c15="http://schemas.microsoft.com/office/drawing/2012/chart" uri="{02D57815-91ED-43cb-92C2-25804820EDAC}">
                  <c15:fullRef>
                    <c15:sqref>'Crop Comparison'!$B$34:$H$34</c15:sqref>
                  </c15:fullRef>
                </c:ext>
              </c:extLst>
              <c:f>'Crop Comparison'!$B$34:$G$34</c:f>
              <c:numCache>
                <c:formatCode>_ [$R-1C09]\ * #\ ##0_ ;_ [$R-1C09]\ * \-#\ ##0_ ;_ [$R-1C09]\ * "-"??_ ;_ @_ </c:formatCode>
                <c:ptCount val="6"/>
                <c:pt idx="0">
                  <c:v>-9253.3718995850431</c:v>
                </c:pt>
                <c:pt idx="1">
                  <c:v>-8801.2994545177498</c:v>
                </c:pt>
                <c:pt idx="2">
                  <c:v>-10668.065995130681</c:v>
                </c:pt>
                <c:pt idx="3">
                  <c:v>-3327.3088754709424</c:v>
                </c:pt>
                <c:pt idx="4">
                  <c:v>-6562.8880014376173</c:v>
                </c:pt>
                <c:pt idx="5">
                  <c:v>-7528.8453787132294</c:v>
                </c:pt>
              </c:numCache>
            </c:numRef>
          </c:val>
          <c:extLst>
            <c:ext xmlns:c16="http://schemas.microsoft.com/office/drawing/2014/chart" uri="{C3380CC4-5D6E-409C-BE32-E72D297353CC}">
              <c16:uniqueId val="{00000003-AD9F-4852-B5E8-1AF301A39B84}"/>
            </c:ext>
          </c:extLst>
        </c:ser>
        <c:dLbls>
          <c:showLegendKey val="0"/>
          <c:showVal val="0"/>
          <c:showCatName val="0"/>
          <c:showSerName val="0"/>
          <c:showPercent val="0"/>
          <c:showBubbleSize val="0"/>
        </c:dLbls>
        <c:gapWidth val="150"/>
        <c:axId val="130243615"/>
        <c:axId val="1"/>
      </c:barChart>
      <c:catAx>
        <c:axId val="130243615"/>
        <c:scaling>
          <c:orientation val="minMax"/>
        </c:scaling>
        <c:delete val="0"/>
        <c:axPos val="b"/>
        <c:numFmt formatCode="General" sourceLinked="1"/>
        <c:majorTickMark val="none"/>
        <c:minorTickMark val="none"/>
        <c:tickLblPos val="low"/>
        <c:spPr>
          <a:ln w="9525">
            <a:noFill/>
          </a:ln>
        </c:spPr>
        <c:txPr>
          <a:bodyPr rot="0" vert="horz" anchor="b" anchorCtr="1"/>
          <a:lstStyle/>
          <a:p>
            <a:pPr>
              <a:defRPr sz="105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min val="-11000"/>
        </c:scaling>
        <c:delete val="0"/>
        <c:axPos val="l"/>
        <c:majorGridlines>
          <c:spPr>
            <a:ln w="9525" cap="flat" cmpd="sng" algn="ctr">
              <a:solidFill>
                <a:schemeClr val="tx1">
                  <a:lumMod val="15000"/>
                  <a:lumOff val="85000"/>
                </a:schemeClr>
              </a:solidFill>
              <a:round/>
            </a:ln>
            <a:effectLst/>
          </c:spPr>
        </c:majorGridlines>
        <c:numFmt formatCode="_ [$R-1C09]\ * #\ ##0_ ;_ [$R-1C09]\ * \-#\ ##0_ ;_ [$R-1C09]\ * &quot;-&quot;??_ ;_ @_ " sourceLinked="1"/>
        <c:majorTickMark val="none"/>
        <c:minorTickMark val="none"/>
        <c:tickLblPos val="nextTo"/>
        <c:spPr>
          <a:ln w="9525">
            <a:noFill/>
          </a:ln>
        </c:spPr>
        <c:txPr>
          <a:bodyPr rot="0" vert="horz"/>
          <a:lstStyle/>
          <a:p>
            <a:pPr>
              <a:defRPr sz="1100" b="0" i="0" u="none" strike="noStrike" baseline="0">
                <a:solidFill>
                  <a:srgbClr val="333333"/>
                </a:solidFill>
                <a:latin typeface="Calibri"/>
                <a:ea typeface="Calibri"/>
                <a:cs typeface="Calibri"/>
              </a:defRPr>
            </a:pPr>
            <a:endParaRPr lang="en-US"/>
          </a:p>
        </c:txPr>
        <c:crossAx val="130243615"/>
        <c:crosses val="autoZero"/>
        <c:crossBetween val="between"/>
      </c:valAx>
      <c:spPr>
        <a:noFill/>
        <a:ln w="25400">
          <a:noFill/>
        </a:ln>
      </c:spPr>
    </c:plotArea>
    <c:legend>
      <c:legendPos val="r"/>
      <c:layout>
        <c:manualLayout>
          <c:xMode val="edge"/>
          <c:yMode val="edge"/>
          <c:x val="0.1739690862971156"/>
          <c:y val="0.90162959738199955"/>
          <c:w val="0.65281796272227832"/>
          <c:h val="7.2502261454866393E-2"/>
        </c:manualLayout>
      </c:layout>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Groundnuts</a:t>
            </a:r>
            <a:r>
              <a:rPr lang="en-GB" baseline="0"/>
              <a:t> profitability</a:t>
            </a:r>
            <a:endParaRPr lang="en-GB"/>
          </a:p>
        </c:rich>
      </c:tx>
      <c:overlay val="0"/>
    </c:title>
    <c:autoTitleDeleted val="0"/>
    <c:plotArea>
      <c:layout>
        <c:manualLayout>
          <c:layoutTarget val="inner"/>
          <c:xMode val="edge"/>
          <c:yMode val="edge"/>
          <c:x val="0.36050675854622982"/>
          <c:y val="0.25924444444444444"/>
          <c:w val="0.29509918571388244"/>
          <c:h val="0.73840912698412697"/>
        </c:manualLayout>
      </c:layout>
      <c:doughnutChart>
        <c:varyColors val="1"/>
        <c:ser>
          <c:idx val="0"/>
          <c:order val="0"/>
          <c:tx>
            <c:strRef>
              <c:f>Grafieke!$A$71</c:f>
              <c:strCache>
                <c:ptCount val="1"/>
                <c:pt idx="0">
                  <c:v>Winsgewendheid: Sorghum</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7C54-4DA4-BAD7-30128E3364E0}"/>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7C54-4DA4-BAD7-30128E3364E0}"/>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7C54-4DA4-BAD7-30128E3364E0}"/>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7C54-4DA4-BAD7-30128E3364E0}"/>
              </c:ext>
            </c:extLst>
          </c:dPt>
          <c:dPt>
            <c:idx val="4"/>
            <c:bubble3D val="0"/>
            <c:spPr>
              <a:noFill/>
              <a:ln>
                <a:noFill/>
              </a:ln>
              <a:effectLst/>
            </c:spPr>
            <c:extLst>
              <c:ext xmlns:c16="http://schemas.microsoft.com/office/drawing/2014/chart" uri="{C3380CC4-5D6E-409C-BE32-E72D297353CC}">
                <c16:uniqueId val="{00000009-7C54-4DA4-BAD7-30128E3364E0}"/>
              </c:ext>
            </c:extLst>
          </c:dPt>
          <c:dLbls>
            <c:dLbl>
              <c:idx val="0"/>
              <c:delete val="1"/>
              <c:extLst>
                <c:ext xmlns:c15="http://schemas.microsoft.com/office/drawing/2012/chart" uri="{CE6537A1-D6FC-4f65-9D91-7224C49458BB}"/>
                <c:ext xmlns:c16="http://schemas.microsoft.com/office/drawing/2014/chart" uri="{C3380CC4-5D6E-409C-BE32-E72D297353CC}">
                  <c16:uniqueId val="{00000001-7C54-4DA4-BAD7-30128E3364E0}"/>
                </c:ext>
              </c:extLst>
            </c:dLbl>
            <c:dLbl>
              <c:idx val="1"/>
              <c:tx>
                <c:rich>
                  <a:bodyPr/>
                  <a:lstStyle/>
                  <a:p>
                    <a:r>
                      <a:rPr lang="en-US"/>
                      <a:t>Variable</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7C54-4DA4-BAD7-30128E3364E0}"/>
                </c:ext>
              </c:extLst>
            </c:dLbl>
            <c:dLbl>
              <c:idx val="2"/>
              <c:tx>
                <c:rich>
                  <a:bodyPr/>
                  <a:lstStyle/>
                  <a:p>
                    <a:r>
                      <a:rPr lang="en-US"/>
                      <a:t>Fixed</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7C54-4DA4-BAD7-30128E3364E0}"/>
                </c:ext>
              </c:extLst>
            </c:dLbl>
            <c:dLbl>
              <c:idx val="3"/>
              <c:tx>
                <c:rich>
                  <a:bodyPr/>
                  <a:lstStyle/>
                  <a:p>
                    <a:r>
                      <a:rPr lang="en-US"/>
                      <a:t>Profit</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7C54-4DA4-BAD7-30128E3364E0}"/>
                </c:ext>
              </c:extLst>
            </c:dLbl>
            <c:dLbl>
              <c:idx val="4"/>
              <c:delete val="1"/>
              <c:extLst>
                <c:ext xmlns:c15="http://schemas.microsoft.com/office/drawing/2012/chart" uri="{CE6537A1-D6FC-4f65-9D91-7224C49458BB}"/>
                <c:ext xmlns:c16="http://schemas.microsoft.com/office/drawing/2014/chart" uri="{C3380CC4-5D6E-409C-BE32-E72D297353CC}">
                  <c16:uniqueId val="{00000009-7C54-4DA4-BAD7-30128E3364E0}"/>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Grafieke!$C$72:$C$76</c:f>
              <c:numCache>
                <c:formatCode>0</c:formatCode>
                <c:ptCount val="5"/>
                <c:pt idx="0" formatCode="General">
                  <c:v>0</c:v>
                </c:pt>
                <c:pt idx="1">
                  <c:v>25.949004681131001</c:v>
                </c:pt>
                <c:pt idx="2">
                  <c:v>18.405518959867308</c:v>
                </c:pt>
                <c:pt idx="3">
                  <c:v>55.645476359001691</c:v>
                </c:pt>
                <c:pt idx="4" formatCode="General">
                  <c:v>100</c:v>
                </c:pt>
              </c:numCache>
            </c:numRef>
          </c:val>
          <c:extLst>
            <c:ext xmlns:c16="http://schemas.microsoft.com/office/drawing/2014/chart" uri="{C3380CC4-5D6E-409C-BE32-E72D297353CC}">
              <c16:uniqueId val="{0000000A-7C54-4DA4-BAD7-30128E3364E0}"/>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Grafieke!$D$71</c:f>
              <c:strCache>
                <c:ptCount val="1"/>
                <c:pt idx="0">
                  <c:v>Pointer</c:v>
                </c:pt>
              </c:strCache>
            </c:strRef>
          </c:tx>
          <c:dPt>
            <c:idx val="0"/>
            <c:bubble3D val="0"/>
            <c:spPr>
              <a:noFill/>
              <a:ln>
                <a:noFill/>
              </a:ln>
              <a:effectLst/>
            </c:spPr>
            <c:extLst>
              <c:ext xmlns:c16="http://schemas.microsoft.com/office/drawing/2014/chart" uri="{C3380CC4-5D6E-409C-BE32-E72D297353CC}">
                <c16:uniqueId val="{0000000C-7C54-4DA4-BAD7-30128E3364E0}"/>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7C54-4DA4-BAD7-30128E3364E0}"/>
              </c:ext>
            </c:extLst>
          </c:dPt>
          <c:dPt>
            <c:idx val="2"/>
            <c:bubble3D val="0"/>
            <c:spPr>
              <a:noFill/>
              <a:ln>
                <a:noFill/>
              </a:ln>
              <a:effectLst/>
            </c:spPr>
            <c:extLst>
              <c:ext xmlns:c16="http://schemas.microsoft.com/office/drawing/2014/chart" uri="{C3380CC4-5D6E-409C-BE32-E72D297353CC}">
                <c16:uniqueId val="{00000010-7C54-4DA4-BAD7-30128E3364E0}"/>
              </c:ext>
            </c:extLst>
          </c:dPt>
          <c:val>
            <c:numRef>
              <c:f>Grafieke!$F$72:$F$74</c:f>
              <c:numCache>
                <c:formatCode>General</c:formatCode>
                <c:ptCount val="3"/>
                <c:pt idx="0" formatCode="0">
                  <c:v>55.645476359001691</c:v>
                </c:pt>
                <c:pt idx="1">
                  <c:v>1</c:v>
                </c:pt>
                <c:pt idx="2" formatCode="0">
                  <c:v>143.35452364099831</c:v>
                </c:pt>
              </c:numCache>
            </c:numRef>
          </c:val>
          <c:extLst>
            <c:ext xmlns:c16="http://schemas.microsoft.com/office/drawing/2014/chart" uri="{C3380CC4-5D6E-409C-BE32-E72D297353CC}">
              <c16:uniqueId val="{00000011-7C54-4DA4-BAD7-30128E3364E0}"/>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Grondbonewinsgewendheid</a:t>
            </a:r>
          </a:p>
        </c:rich>
      </c:tx>
      <c:overlay val="0"/>
    </c:title>
    <c:autoTitleDeleted val="0"/>
    <c:plotArea>
      <c:layout>
        <c:manualLayout>
          <c:layoutTarget val="inner"/>
          <c:xMode val="edge"/>
          <c:yMode val="edge"/>
          <c:x val="0.35231511273414384"/>
          <c:y val="0.24412539682539683"/>
          <c:w val="0.30141768094749954"/>
          <c:h val="0.75352817460317456"/>
        </c:manualLayout>
      </c:layout>
      <c:doughnutChart>
        <c:varyColors val="1"/>
        <c:ser>
          <c:idx val="0"/>
          <c:order val="0"/>
          <c:tx>
            <c:strRef>
              <c:f>Grafieke!$A$71</c:f>
              <c:strCache>
                <c:ptCount val="1"/>
                <c:pt idx="0">
                  <c:v>Winsgewendheid: Sorghum</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5068-4903-9D92-E6024762BE32}"/>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5068-4903-9D92-E6024762BE32}"/>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5068-4903-9D92-E6024762BE32}"/>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5068-4903-9D92-E6024762BE32}"/>
              </c:ext>
            </c:extLst>
          </c:dPt>
          <c:dPt>
            <c:idx val="4"/>
            <c:bubble3D val="0"/>
            <c:spPr>
              <a:noFill/>
              <a:ln>
                <a:noFill/>
              </a:ln>
              <a:effectLst/>
            </c:spPr>
            <c:extLst>
              <c:ext xmlns:c16="http://schemas.microsoft.com/office/drawing/2014/chart" uri="{C3380CC4-5D6E-409C-BE32-E72D297353CC}">
                <c16:uniqueId val="{00000009-5068-4903-9D92-E6024762BE32}"/>
              </c:ext>
            </c:extLst>
          </c:dPt>
          <c:dLbls>
            <c:dLbl>
              <c:idx val="0"/>
              <c:delete val="1"/>
              <c:extLst>
                <c:ext xmlns:c15="http://schemas.microsoft.com/office/drawing/2012/chart" uri="{CE6537A1-D6FC-4f65-9D91-7224C49458BB}"/>
                <c:ext xmlns:c16="http://schemas.microsoft.com/office/drawing/2014/chart" uri="{C3380CC4-5D6E-409C-BE32-E72D297353CC}">
                  <c16:uniqueId val="{00000001-5068-4903-9D92-E6024762BE32}"/>
                </c:ext>
              </c:extLst>
            </c:dLbl>
            <c:dLbl>
              <c:idx val="1"/>
              <c:tx>
                <c:rich>
                  <a:bodyPr/>
                  <a:lstStyle/>
                  <a:p>
                    <a:r>
                      <a:rPr lang="en-US"/>
                      <a:t>Veranderlike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5068-4903-9D92-E6024762BE32}"/>
                </c:ext>
              </c:extLst>
            </c:dLbl>
            <c:dLbl>
              <c:idx val="2"/>
              <c:tx>
                <c:rich>
                  <a:bodyPr/>
                  <a:lstStyle/>
                  <a:p>
                    <a:r>
                      <a:rPr lang="en-US"/>
                      <a:t>Vaste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5068-4903-9D92-E6024762BE32}"/>
                </c:ext>
              </c:extLst>
            </c:dLbl>
            <c:dLbl>
              <c:idx val="3"/>
              <c:tx>
                <c:rich>
                  <a:bodyPr/>
                  <a:lstStyle/>
                  <a:p>
                    <a:r>
                      <a:rPr lang="en-US"/>
                      <a:t>Wins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5068-4903-9D92-E6024762BE32}"/>
                </c:ext>
              </c:extLst>
            </c:dLbl>
            <c:dLbl>
              <c:idx val="4"/>
              <c:delete val="1"/>
              <c:extLst>
                <c:ext xmlns:c15="http://schemas.microsoft.com/office/drawing/2012/chart" uri="{CE6537A1-D6FC-4f65-9D91-7224C49458BB}"/>
                <c:ext xmlns:c16="http://schemas.microsoft.com/office/drawing/2014/chart" uri="{C3380CC4-5D6E-409C-BE32-E72D297353CC}">
                  <c16:uniqueId val="{00000009-5068-4903-9D92-E6024762BE32}"/>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Grafieke!$C$72:$C$76</c:f>
              <c:numCache>
                <c:formatCode>0</c:formatCode>
                <c:ptCount val="5"/>
                <c:pt idx="0" formatCode="General">
                  <c:v>0</c:v>
                </c:pt>
                <c:pt idx="1">
                  <c:v>25.949004681131001</c:v>
                </c:pt>
                <c:pt idx="2">
                  <c:v>18.405518959867308</c:v>
                </c:pt>
                <c:pt idx="3">
                  <c:v>55.645476359001691</c:v>
                </c:pt>
                <c:pt idx="4" formatCode="General">
                  <c:v>100</c:v>
                </c:pt>
              </c:numCache>
            </c:numRef>
          </c:val>
          <c:extLst>
            <c:ext xmlns:c16="http://schemas.microsoft.com/office/drawing/2014/chart" uri="{C3380CC4-5D6E-409C-BE32-E72D297353CC}">
              <c16:uniqueId val="{0000000A-5068-4903-9D92-E6024762BE32}"/>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Grafieke!$D$71</c:f>
              <c:strCache>
                <c:ptCount val="1"/>
                <c:pt idx="0">
                  <c:v>Pointer</c:v>
                </c:pt>
              </c:strCache>
            </c:strRef>
          </c:tx>
          <c:dPt>
            <c:idx val="0"/>
            <c:bubble3D val="0"/>
            <c:spPr>
              <a:noFill/>
              <a:ln>
                <a:noFill/>
              </a:ln>
              <a:effectLst/>
            </c:spPr>
            <c:extLst>
              <c:ext xmlns:c16="http://schemas.microsoft.com/office/drawing/2014/chart" uri="{C3380CC4-5D6E-409C-BE32-E72D297353CC}">
                <c16:uniqueId val="{0000000C-5068-4903-9D92-E6024762BE32}"/>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5068-4903-9D92-E6024762BE32}"/>
              </c:ext>
            </c:extLst>
          </c:dPt>
          <c:dPt>
            <c:idx val="2"/>
            <c:bubble3D val="0"/>
            <c:spPr>
              <a:noFill/>
              <a:ln>
                <a:noFill/>
              </a:ln>
              <a:effectLst/>
            </c:spPr>
            <c:extLst>
              <c:ext xmlns:c16="http://schemas.microsoft.com/office/drawing/2014/chart" uri="{C3380CC4-5D6E-409C-BE32-E72D297353CC}">
                <c16:uniqueId val="{00000010-5068-4903-9D92-E6024762BE32}"/>
              </c:ext>
            </c:extLst>
          </c:dPt>
          <c:val>
            <c:numRef>
              <c:f>Grafieke!$F$72:$F$74</c:f>
              <c:numCache>
                <c:formatCode>General</c:formatCode>
                <c:ptCount val="3"/>
                <c:pt idx="0" formatCode="0">
                  <c:v>55.645476359001691</c:v>
                </c:pt>
                <c:pt idx="1">
                  <c:v>1</c:v>
                </c:pt>
                <c:pt idx="2" formatCode="0">
                  <c:v>143.35452364099831</c:v>
                </c:pt>
              </c:numCache>
            </c:numRef>
          </c:val>
          <c:extLst>
            <c:ext xmlns:c16="http://schemas.microsoft.com/office/drawing/2014/chart" uri="{C3380CC4-5D6E-409C-BE32-E72D297353CC}">
              <c16:uniqueId val="{00000011-5068-4903-9D92-E6024762BE32}"/>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en-ZA" b="1"/>
              <a:t>Mielie</a:t>
            </a:r>
            <a:r>
              <a:rPr lang="en-ZA" sz="1800" b="1" i="0" u="none" strike="noStrike" kern="1200" baseline="0">
                <a:solidFill>
                  <a:sysClr val="windowText" lastClr="000000"/>
                </a:solidFill>
                <a:latin typeface="+mn-lt"/>
                <a:ea typeface="+mn-ea"/>
                <a:cs typeface="+mn-cs"/>
              </a:rPr>
              <a:t>winsgewendheid</a:t>
            </a:r>
            <a:r>
              <a:rPr lang="en-ZA" sz="1400" b="1"/>
              <a:t> </a:t>
            </a:r>
            <a:r>
              <a:rPr lang="en-ZA" sz="1200" b="0"/>
              <a:t>(Hoër</a:t>
            </a:r>
            <a:r>
              <a:rPr lang="en-ZA" sz="1200" b="0" baseline="0"/>
              <a:t> opbrengs)</a:t>
            </a:r>
            <a:endParaRPr lang="en-ZA" sz="1050" b="0"/>
          </a:p>
        </c:rich>
      </c:tx>
      <c:layout>
        <c:manualLayout>
          <c:xMode val="edge"/>
          <c:yMode val="edge"/>
          <c:x val="0.28843510540431561"/>
          <c:y val="4.7382498526292366E-2"/>
        </c:manualLayout>
      </c:layout>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tx>
            <c:strRef>
              <c:f>Grafieke!$A$1</c:f>
              <c:strCache>
                <c:ptCount val="1"/>
                <c:pt idx="0">
                  <c:v>Winsgewendheid: Mielies (Hoer opbrengs)</c:v>
                </c:pt>
              </c:strCache>
            </c:strRef>
          </c:tx>
          <c:explosion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782E-4206-BB6E-42D6F2A40863}"/>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782E-4206-BB6E-42D6F2A40863}"/>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782E-4206-BB6E-42D6F2A40863}"/>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782E-4206-BB6E-42D6F2A40863}"/>
              </c:ext>
            </c:extLst>
          </c:dPt>
          <c:dPt>
            <c:idx val="4"/>
            <c:bubble3D val="0"/>
            <c:spPr>
              <a:noFill/>
              <a:ln>
                <a:noFill/>
              </a:ln>
              <a:effectLst/>
            </c:spPr>
            <c:extLst>
              <c:ext xmlns:c16="http://schemas.microsoft.com/office/drawing/2014/chart" uri="{C3380CC4-5D6E-409C-BE32-E72D297353CC}">
                <c16:uniqueId val="{00000009-782E-4206-BB6E-42D6F2A40863}"/>
              </c:ext>
            </c:extLst>
          </c:dPt>
          <c:dLbls>
            <c:dLbl>
              <c:idx val="0"/>
              <c:delete val="1"/>
              <c:extLst>
                <c:ext xmlns:c15="http://schemas.microsoft.com/office/drawing/2012/chart" uri="{CE6537A1-D6FC-4f65-9D91-7224C49458BB}"/>
                <c:ext xmlns:c16="http://schemas.microsoft.com/office/drawing/2014/chart" uri="{C3380CC4-5D6E-409C-BE32-E72D297353CC}">
                  <c16:uniqueId val="{00000001-782E-4206-BB6E-42D6F2A40863}"/>
                </c:ext>
              </c:extLst>
            </c:dLbl>
            <c:dLbl>
              <c:idx val="1"/>
              <c:tx>
                <c:rich>
                  <a:bodyPr/>
                  <a:lstStyle/>
                  <a:p>
                    <a:r>
                      <a:rPr lang="en-US"/>
                      <a:t>Veranderlike Koste</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782E-4206-BB6E-42D6F2A40863}"/>
                </c:ext>
              </c:extLst>
            </c:dLbl>
            <c:dLbl>
              <c:idx val="2"/>
              <c:tx>
                <c:rich>
                  <a:bodyPr/>
                  <a:lstStyle/>
                  <a:p>
                    <a:r>
                      <a:rPr lang="en-US"/>
                      <a:t>Vaste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782E-4206-BB6E-42D6F2A40863}"/>
                </c:ext>
              </c:extLst>
            </c:dLbl>
            <c:dLbl>
              <c:idx val="3"/>
              <c:tx>
                <c:rich>
                  <a:bodyPr/>
                  <a:lstStyle/>
                  <a:p>
                    <a:r>
                      <a:rPr lang="en-US"/>
                      <a:t>Wins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782E-4206-BB6E-42D6F2A40863}"/>
                </c:ext>
              </c:extLst>
            </c:dLbl>
            <c:dLbl>
              <c:idx val="4"/>
              <c:delete val="1"/>
              <c:extLst>
                <c:ext xmlns:c15="http://schemas.microsoft.com/office/drawing/2012/chart" uri="{CE6537A1-D6FC-4f65-9D91-7224C49458BB}"/>
                <c:ext xmlns:c16="http://schemas.microsoft.com/office/drawing/2014/chart" uri="{C3380CC4-5D6E-409C-BE32-E72D297353CC}">
                  <c16:uniqueId val="{00000009-782E-4206-BB6E-42D6F2A40863}"/>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Grafieke!$C$2:$C$6</c:f>
              <c:numCache>
                <c:formatCode>0</c:formatCode>
                <c:ptCount val="5"/>
                <c:pt idx="0" formatCode="General">
                  <c:v>0</c:v>
                </c:pt>
                <c:pt idx="1">
                  <c:v>44.068307955630324</c:v>
                </c:pt>
                <c:pt idx="2">
                  <c:v>14.846874132138055</c:v>
                </c:pt>
                <c:pt idx="3">
                  <c:v>41.084817912231628</c:v>
                </c:pt>
                <c:pt idx="4" formatCode="General">
                  <c:v>100</c:v>
                </c:pt>
              </c:numCache>
            </c:numRef>
          </c:val>
          <c:extLst>
            <c:ext xmlns:c16="http://schemas.microsoft.com/office/drawing/2014/chart" uri="{C3380CC4-5D6E-409C-BE32-E72D297353CC}">
              <c16:uniqueId val="{0000000A-782E-4206-BB6E-42D6F2A40863}"/>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Grafieke!$D$1</c:f>
              <c:strCache>
                <c:ptCount val="1"/>
                <c:pt idx="0">
                  <c:v>Pointer</c:v>
                </c:pt>
              </c:strCache>
            </c:strRef>
          </c:tx>
          <c:dPt>
            <c:idx val="0"/>
            <c:bubble3D val="0"/>
            <c:spPr>
              <a:noFill/>
              <a:ln>
                <a:noFill/>
              </a:ln>
              <a:effectLst/>
            </c:spPr>
            <c:extLst>
              <c:ext xmlns:c16="http://schemas.microsoft.com/office/drawing/2014/chart" uri="{C3380CC4-5D6E-409C-BE32-E72D297353CC}">
                <c16:uniqueId val="{0000000C-782E-4206-BB6E-42D6F2A40863}"/>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782E-4206-BB6E-42D6F2A40863}"/>
              </c:ext>
            </c:extLst>
          </c:dPt>
          <c:dPt>
            <c:idx val="2"/>
            <c:bubble3D val="0"/>
            <c:spPr>
              <a:noFill/>
              <a:ln>
                <a:noFill/>
              </a:ln>
              <a:effectLst/>
            </c:spPr>
            <c:extLst>
              <c:ext xmlns:c16="http://schemas.microsoft.com/office/drawing/2014/chart" uri="{C3380CC4-5D6E-409C-BE32-E72D297353CC}">
                <c16:uniqueId val="{00000010-782E-4206-BB6E-42D6F2A40863}"/>
              </c:ext>
            </c:extLst>
          </c:dPt>
          <c:val>
            <c:numRef>
              <c:f>Grafieke!$F$2:$F$4</c:f>
              <c:numCache>
                <c:formatCode>General</c:formatCode>
                <c:ptCount val="3"/>
                <c:pt idx="0" formatCode="0">
                  <c:v>41.084817912231628</c:v>
                </c:pt>
                <c:pt idx="1">
                  <c:v>1</c:v>
                </c:pt>
                <c:pt idx="2" formatCode="0">
                  <c:v>157.91518208776836</c:v>
                </c:pt>
              </c:numCache>
            </c:numRef>
          </c:val>
          <c:extLst>
            <c:ext xmlns:c16="http://schemas.microsoft.com/office/drawing/2014/chart" uri="{C3380CC4-5D6E-409C-BE32-E72D297353CC}">
              <c16:uniqueId val="{00000011-782E-4206-BB6E-42D6F2A40863}"/>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Sunflower</a:t>
            </a:r>
            <a:r>
              <a:rPr lang="en-GB" baseline="0"/>
              <a:t> profitability</a:t>
            </a:r>
            <a:endParaRPr lang="en-GB"/>
          </a:p>
        </c:rich>
      </c:tx>
      <c:overlay val="0"/>
    </c:title>
    <c:autoTitleDeleted val="0"/>
    <c:plotArea>
      <c:layout>
        <c:manualLayout>
          <c:layoutTarget val="inner"/>
          <c:xMode val="edge"/>
          <c:yMode val="edge"/>
          <c:x val="0.3138312504815724"/>
          <c:y val="0.20618906700407469"/>
          <c:w val="0.37233766297638776"/>
          <c:h val="0.79165019711181517"/>
        </c:manualLayout>
      </c:layout>
      <c:doughnutChart>
        <c:varyColors val="1"/>
        <c:ser>
          <c:idx val="0"/>
          <c:order val="0"/>
          <c:tx>
            <c:strRef>
              <c:f>Grafieke!$A$34</c:f>
              <c:strCache>
                <c:ptCount val="1"/>
                <c:pt idx="0">
                  <c:v>Winsgewendheid: Sonneblom</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EDAC-4723-9EF6-2AFD0B64267B}"/>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EDAC-4723-9EF6-2AFD0B64267B}"/>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EDAC-4723-9EF6-2AFD0B64267B}"/>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EDAC-4723-9EF6-2AFD0B64267B}"/>
              </c:ext>
            </c:extLst>
          </c:dPt>
          <c:dPt>
            <c:idx val="4"/>
            <c:bubble3D val="0"/>
            <c:spPr>
              <a:noFill/>
              <a:ln>
                <a:noFill/>
              </a:ln>
              <a:effectLst/>
            </c:spPr>
            <c:extLst>
              <c:ext xmlns:c16="http://schemas.microsoft.com/office/drawing/2014/chart" uri="{C3380CC4-5D6E-409C-BE32-E72D297353CC}">
                <c16:uniqueId val="{00000009-EDAC-4723-9EF6-2AFD0B64267B}"/>
              </c:ext>
            </c:extLst>
          </c:dPt>
          <c:dLbls>
            <c:dLbl>
              <c:idx val="0"/>
              <c:delete val="1"/>
              <c:extLst>
                <c:ext xmlns:c15="http://schemas.microsoft.com/office/drawing/2012/chart" uri="{CE6537A1-D6FC-4f65-9D91-7224C49458BB}"/>
                <c:ext xmlns:c16="http://schemas.microsoft.com/office/drawing/2014/chart" uri="{C3380CC4-5D6E-409C-BE32-E72D297353CC}">
                  <c16:uniqueId val="{00000001-EDAC-4723-9EF6-2AFD0B64267B}"/>
                </c:ext>
              </c:extLst>
            </c:dLbl>
            <c:dLbl>
              <c:idx val="1"/>
              <c:tx>
                <c:rich>
                  <a:bodyPr/>
                  <a:lstStyle/>
                  <a:p>
                    <a:r>
                      <a:rPr lang="en-US"/>
                      <a:t>Variable</a:t>
                    </a:r>
                    <a:r>
                      <a:rPr lang="en-US" baseline="0"/>
                      <a:t> cost  </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EDAC-4723-9EF6-2AFD0B64267B}"/>
                </c:ext>
              </c:extLst>
            </c:dLbl>
            <c:dLbl>
              <c:idx val="2"/>
              <c:layout>
                <c:manualLayout>
                  <c:x val="-2.033760423022168E-3"/>
                  <c:y val="-4.3830813061582694E-3"/>
                </c:manualLayout>
              </c:layout>
              <c:tx>
                <c:rich>
                  <a:bodyPr/>
                  <a:lstStyle/>
                  <a:p>
                    <a:r>
                      <a:rPr lang="en-US"/>
                      <a:t>Fixed</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EDAC-4723-9EF6-2AFD0B64267B}"/>
                </c:ext>
              </c:extLst>
            </c:dLbl>
            <c:dLbl>
              <c:idx val="3"/>
              <c:tx>
                <c:rich>
                  <a:bodyPr/>
                  <a:lstStyle/>
                  <a:p>
                    <a:r>
                      <a:rPr lang="en-US"/>
                      <a:t>Profit</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EDAC-4723-9EF6-2AFD0B64267B}"/>
                </c:ext>
              </c:extLst>
            </c:dLbl>
            <c:dLbl>
              <c:idx val="4"/>
              <c:delete val="1"/>
              <c:extLst>
                <c:ext xmlns:c15="http://schemas.microsoft.com/office/drawing/2012/chart" uri="{CE6537A1-D6FC-4f65-9D91-7224C49458BB}"/>
                <c:ext xmlns:c16="http://schemas.microsoft.com/office/drawing/2014/chart" uri="{C3380CC4-5D6E-409C-BE32-E72D297353CC}">
                  <c16:uniqueId val="{00000009-EDAC-4723-9EF6-2AFD0B64267B}"/>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Grafieke!$C$35:$C$39</c:f>
              <c:numCache>
                <c:formatCode>0</c:formatCode>
                <c:ptCount val="5"/>
                <c:pt idx="0" formatCode="General">
                  <c:v>0</c:v>
                </c:pt>
                <c:pt idx="1">
                  <c:v>34.697802078282756</c:v>
                </c:pt>
                <c:pt idx="2">
                  <c:v>20.75043449456895</c:v>
                </c:pt>
                <c:pt idx="3">
                  <c:v>44.551763427148288</c:v>
                </c:pt>
                <c:pt idx="4" formatCode="General">
                  <c:v>100</c:v>
                </c:pt>
              </c:numCache>
            </c:numRef>
          </c:val>
          <c:extLst>
            <c:ext xmlns:c16="http://schemas.microsoft.com/office/drawing/2014/chart" uri="{C3380CC4-5D6E-409C-BE32-E72D297353CC}">
              <c16:uniqueId val="{0000000A-EDAC-4723-9EF6-2AFD0B64267B}"/>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Grafieke!$D$34</c:f>
              <c:strCache>
                <c:ptCount val="1"/>
                <c:pt idx="0">
                  <c:v>Pointer</c:v>
                </c:pt>
              </c:strCache>
            </c:strRef>
          </c:tx>
          <c:dPt>
            <c:idx val="0"/>
            <c:bubble3D val="0"/>
            <c:spPr>
              <a:noFill/>
              <a:ln>
                <a:noFill/>
              </a:ln>
              <a:effectLst/>
            </c:spPr>
            <c:extLst>
              <c:ext xmlns:c16="http://schemas.microsoft.com/office/drawing/2014/chart" uri="{C3380CC4-5D6E-409C-BE32-E72D297353CC}">
                <c16:uniqueId val="{0000000C-EDAC-4723-9EF6-2AFD0B64267B}"/>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EDAC-4723-9EF6-2AFD0B64267B}"/>
              </c:ext>
            </c:extLst>
          </c:dPt>
          <c:dPt>
            <c:idx val="2"/>
            <c:bubble3D val="0"/>
            <c:spPr>
              <a:noFill/>
              <a:ln>
                <a:noFill/>
              </a:ln>
              <a:effectLst/>
            </c:spPr>
            <c:extLst>
              <c:ext xmlns:c16="http://schemas.microsoft.com/office/drawing/2014/chart" uri="{C3380CC4-5D6E-409C-BE32-E72D297353CC}">
                <c16:uniqueId val="{00000010-EDAC-4723-9EF6-2AFD0B64267B}"/>
              </c:ext>
            </c:extLst>
          </c:dPt>
          <c:val>
            <c:numRef>
              <c:f>Grafieke!$F$35:$F$37</c:f>
              <c:numCache>
                <c:formatCode>General</c:formatCode>
                <c:ptCount val="3"/>
                <c:pt idx="0" formatCode="0">
                  <c:v>44.551763427148288</c:v>
                </c:pt>
                <c:pt idx="1">
                  <c:v>1</c:v>
                </c:pt>
                <c:pt idx="2" formatCode="0">
                  <c:v>154.44823657285173</c:v>
                </c:pt>
              </c:numCache>
            </c:numRef>
          </c:val>
          <c:extLst>
            <c:ext xmlns:c16="http://schemas.microsoft.com/office/drawing/2014/chart" uri="{C3380CC4-5D6E-409C-BE32-E72D297353CC}">
              <c16:uniqueId val="{00000011-EDAC-4723-9EF6-2AFD0B64267B}"/>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Soybean</a:t>
            </a:r>
            <a:r>
              <a:rPr lang="en-GB" baseline="0"/>
              <a:t> profitability</a:t>
            </a:r>
            <a:endParaRPr lang="en-GB"/>
          </a:p>
        </c:rich>
      </c:tx>
      <c:overlay val="0"/>
    </c:title>
    <c:autoTitleDeleted val="0"/>
    <c:plotArea>
      <c:layout/>
      <c:doughnutChart>
        <c:varyColors val="1"/>
        <c:ser>
          <c:idx val="0"/>
          <c:order val="0"/>
          <c:tx>
            <c:strRef>
              <c:f>Grafieke!$A$51</c:f>
              <c:strCache>
                <c:ptCount val="1"/>
                <c:pt idx="0">
                  <c:v>Winsgewendheid: Sojabone</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B00F-4329-8C26-BB18252545FA}"/>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B00F-4329-8C26-BB18252545FA}"/>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B00F-4329-8C26-BB18252545FA}"/>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B00F-4329-8C26-BB18252545FA}"/>
              </c:ext>
            </c:extLst>
          </c:dPt>
          <c:dPt>
            <c:idx val="4"/>
            <c:bubble3D val="0"/>
            <c:spPr>
              <a:noFill/>
              <a:ln>
                <a:noFill/>
              </a:ln>
              <a:effectLst/>
            </c:spPr>
            <c:extLst>
              <c:ext xmlns:c16="http://schemas.microsoft.com/office/drawing/2014/chart" uri="{C3380CC4-5D6E-409C-BE32-E72D297353CC}">
                <c16:uniqueId val="{00000009-B00F-4329-8C26-BB18252545FA}"/>
              </c:ext>
            </c:extLst>
          </c:dPt>
          <c:dLbls>
            <c:dLbl>
              <c:idx val="0"/>
              <c:delete val="1"/>
              <c:extLst>
                <c:ext xmlns:c15="http://schemas.microsoft.com/office/drawing/2012/chart" uri="{CE6537A1-D6FC-4f65-9D91-7224C49458BB}"/>
                <c:ext xmlns:c16="http://schemas.microsoft.com/office/drawing/2014/chart" uri="{C3380CC4-5D6E-409C-BE32-E72D297353CC}">
                  <c16:uniqueId val="{00000001-B00F-4329-8C26-BB18252545FA}"/>
                </c:ext>
              </c:extLst>
            </c:dLbl>
            <c:dLbl>
              <c:idx val="1"/>
              <c:tx>
                <c:rich>
                  <a:bodyPr/>
                  <a:lstStyle/>
                  <a:p>
                    <a:r>
                      <a:rPr lang="en-US"/>
                      <a:t>Variable</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B00F-4329-8C26-BB18252545FA}"/>
                </c:ext>
              </c:extLst>
            </c:dLbl>
            <c:dLbl>
              <c:idx val="2"/>
              <c:tx>
                <c:rich>
                  <a:bodyPr/>
                  <a:lstStyle/>
                  <a:p>
                    <a:r>
                      <a:rPr lang="en-US"/>
                      <a:t>Fixed</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B00F-4329-8C26-BB18252545FA}"/>
                </c:ext>
              </c:extLst>
            </c:dLbl>
            <c:dLbl>
              <c:idx val="3"/>
              <c:tx>
                <c:rich>
                  <a:bodyPr/>
                  <a:lstStyle/>
                  <a:p>
                    <a:r>
                      <a:rPr lang="en-US"/>
                      <a:t>Profit</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B00F-4329-8C26-BB18252545FA}"/>
                </c:ext>
              </c:extLst>
            </c:dLbl>
            <c:dLbl>
              <c:idx val="4"/>
              <c:delete val="1"/>
              <c:extLst>
                <c:ext xmlns:c15="http://schemas.microsoft.com/office/drawing/2012/chart" uri="{CE6537A1-D6FC-4f65-9D91-7224C49458BB}"/>
                <c:ext xmlns:c16="http://schemas.microsoft.com/office/drawing/2014/chart" uri="{C3380CC4-5D6E-409C-BE32-E72D297353CC}">
                  <c16:uniqueId val="{00000009-B00F-4329-8C26-BB18252545FA}"/>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Grafieke!$C$52:$C$56</c:f>
              <c:numCache>
                <c:formatCode>0</c:formatCode>
                <c:ptCount val="5"/>
                <c:pt idx="0" formatCode="General">
                  <c:v>0</c:v>
                </c:pt>
                <c:pt idx="1">
                  <c:v>40.731162315504456</c:v>
                </c:pt>
                <c:pt idx="2">
                  <c:v>17.95038877752982</c:v>
                </c:pt>
                <c:pt idx="3">
                  <c:v>41.318448906965727</c:v>
                </c:pt>
                <c:pt idx="4" formatCode="General">
                  <c:v>100</c:v>
                </c:pt>
              </c:numCache>
            </c:numRef>
          </c:val>
          <c:extLst>
            <c:ext xmlns:c16="http://schemas.microsoft.com/office/drawing/2014/chart" uri="{C3380CC4-5D6E-409C-BE32-E72D297353CC}">
              <c16:uniqueId val="{0000000A-B00F-4329-8C26-BB18252545FA}"/>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Grafieke!$D$51</c:f>
              <c:strCache>
                <c:ptCount val="1"/>
                <c:pt idx="0">
                  <c:v>Pointer</c:v>
                </c:pt>
              </c:strCache>
            </c:strRef>
          </c:tx>
          <c:dPt>
            <c:idx val="0"/>
            <c:bubble3D val="0"/>
            <c:spPr>
              <a:noFill/>
              <a:ln>
                <a:noFill/>
              </a:ln>
              <a:effectLst/>
            </c:spPr>
            <c:extLst>
              <c:ext xmlns:c16="http://schemas.microsoft.com/office/drawing/2014/chart" uri="{C3380CC4-5D6E-409C-BE32-E72D297353CC}">
                <c16:uniqueId val="{0000000C-B00F-4329-8C26-BB18252545FA}"/>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B00F-4329-8C26-BB18252545FA}"/>
              </c:ext>
            </c:extLst>
          </c:dPt>
          <c:dPt>
            <c:idx val="2"/>
            <c:bubble3D val="0"/>
            <c:spPr>
              <a:noFill/>
              <a:ln>
                <a:noFill/>
              </a:ln>
              <a:effectLst/>
            </c:spPr>
            <c:extLst>
              <c:ext xmlns:c16="http://schemas.microsoft.com/office/drawing/2014/chart" uri="{C3380CC4-5D6E-409C-BE32-E72D297353CC}">
                <c16:uniqueId val="{00000010-B00F-4329-8C26-BB18252545FA}"/>
              </c:ext>
            </c:extLst>
          </c:dPt>
          <c:val>
            <c:numRef>
              <c:f>Grafieke!$F$52:$F$54</c:f>
              <c:numCache>
                <c:formatCode>General</c:formatCode>
                <c:ptCount val="3"/>
                <c:pt idx="0" formatCode="0">
                  <c:v>41.318448906965727</c:v>
                </c:pt>
                <c:pt idx="1">
                  <c:v>1</c:v>
                </c:pt>
                <c:pt idx="2" formatCode="0">
                  <c:v>157.68155109303427</c:v>
                </c:pt>
              </c:numCache>
            </c:numRef>
          </c:val>
          <c:extLst>
            <c:ext xmlns:c16="http://schemas.microsoft.com/office/drawing/2014/chart" uri="{C3380CC4-5D6E-409C-BE32-E72D297353CC}">
              <c16:uniqueId val="{00000011-B00F-4329-8C26-BB18252545FA}"/>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Maize</a:t>
            </a:r>
            <a:r>
              <a:rPr lang="en-GB" baseline="0"/>
              <a:t> profitability </a:t>
            </a:r>
            <a:r>
              <a:rPr lang="en-GB" sz="1100" b="0" baseline="0"/>
              <a:t>(Average yield)</a:t>
            </a:r>
            <a:endParaRPr lang="en-GB" b="0"/>
          </a:p>
        </c:rich>
      </c:tx>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tx>
            <c:strRef>
              <c:f>Grafieke!$A$17</c:f>
              <c:strCache>
                <c:ptCount val="1"/>
                <c:pt idx="0">
                  <c:v>Winsgewendheid: Mielies (Gemid opbrengs)</c:v>
                </c:pt>
              </c:strCache>
            </c:strRef>
          </c:tx>
          <c:explosion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5DB1-4D53-8B4E-3D0209A83A32}"/>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5DB1-4D53-8B4E-3D0209A83A32}"/>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5DB1-4D53-8B4E-3D0209A83A32}"/>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5DB1-4D53-8B4E-3D0209A83A32}"/>
              </c:ext>
            </c:extLst>
          </c:dPt>
          <c:dPt>
            <c:idx val="4"/>
            <c:bubble3D val="0"/>
            <c:spPr>
              <a:noFill/>
              <a:ln>
                <a:noFill/>
              </a:ln>
              <a:effectLst/>
            </c:spPr>
            <c:extLst>
              <c:ext xmlns:c16="http://schemas.microsoft.com/office/drawing/2014/chart" uri="{C3380CC4-5D6E-409C-BE32-E72D297353CC}">
                <c16:uniqueId val="{00000009-5DB1-4D53-8B4E-3D0209A83A32}"/>
              </c:ext>
            </c:extLst>
          </c:dPt>
          <c:dLbls>
            <c:dLbl>
              <c:idx val="0"/>
              <c:delete val="1"/>
              <c:extLst>
                <c:ext xmlns:c15="http://schemas.microsoft.com/office/drawing/2012/chart" uri="{CE6537A1-D6FC-4f65-9D91-7224C49458BB}"/>
                <c:ext xmlns:c16="http://schemas.microsoft.com/office/drawing/2014/chart" uri="{C3380CC4-5D6E-409C-BE32-E72D297353CC}">
                  <c16:uniqueId val="{00000001-5DB1-4D53-8B4E-3D0209A83A32}"/>
                </c:ext>
              </c:extLst>
            </c:dLbl>
            <c:dLbl>
              <c:idx val="1"/>
              <c:tx>
                <c:rich>
                  <a:bodyPr/>
                  <a:lstStyle/>
                  <a:p>
                    <a:r>
                      <a:rPr lang="en-US"/>
                      <a:t>Variable</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5DB1-4D53-8B4E-3D0209A83A32}"/>
                </c:ext>
              </c:extLst>
            </c:dLbl>
            <c:dLbl>
              <c:idx val="2"/>
              <c:tx>
                <c:rich>
                  <a:bodyPr/>
                  <a:lstStyle/>
                  <a:p>
                    <a:r>
                      <a:rPr lang="en-US"/>
                      <a:t>Fixed</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5DB1-4D53-8B4E-3D0209A83A32}"/>
                </c:ext>
              </c:extLst>
            </c:dLbl>
            <c:dLbl>
              <c:idx val="3"/>
              <c:tx>
                <c:rich>
                  <a:bodyPr/>
                  <a:lstStyle/>
                  <a:p>
                    <a:r>
                      <a:rPr lang="en-US"/>
                      <a:t>Profit</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5DB1-4D53-8B4E-3D0209A83A32}"/>
                </c:ext>
              </c:extLst>
            </c:dLbl>
            <c:dLbl>
              <c:idx val="4"/>
              <c:delete val="1"/>
              <c:extLst>
                <c:ext xmlns:c15="http://schemas.microsoft.com/office/drawing/2012/chart" uri="{CE6537A1-D6FC-4f65-9D91-7224C49458BB}"/>
                <c:ext xmlns:c16="http://schemas.microsoft.com/office/drawing/2014/chart" uri="{C3380CC4-5D6E-409C-BE32-E72D297353CC}">
                  <c16:uniqueId val="{00000009-5DB1-4D53-8B4E-3D0209A83A32}"/>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Grafieke!$C$18:$C$22</c:f>
              <c:numCache>
                <c:formatCode>0</c:formatCode>
                <c:ptCount val="5"/>
                <c:pt idx="0" formatCode="General">
                  <c:v>0</c:v>
                </c:pt>
                <c:pt idx="1">
                  <c:v>43.11021842465933</c:v>
                </c:pt>
                <c:pt idx="2">
                  <c:v>19.637800587168613</c:v>
                </c:pt>
                <c:pt idx="3">
                  <c:v>37.251980988172058</c:v>
                </c:pt>
                <c:pt idx="4">
                  <c:v>100</c:v>
                </c:pt>
              </c:numCache>
            </c:numRef>
          </c:val>
          <c:extLst>
            <c:ext xmlns:c16="http://schemas.microsoft.com/office/drawing/2014/chart" uri="{C3380CC4-5D6E-409C-BE32-E72D297353CC}">
              <c16:uniqueId val="{0000000A-5DB1-4D53-8B4E-3D0209A83A32}"/>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Grafieke!$D$1</c:f>
              <c:strCache>
                <c:ptCount val="1"/>
                <c:pt idx="0">
                  <c:v>Pointer</c:v>
                </c:pt>
              </c:strCache>
            </c:strRef>
          </c:tx>
          <c:dPt>
            <c:idx val="0"/>
            <c:bubble3D val="0"/>
            <c:spPr>
              <a:noFill/>
              <a:ln>
                <a:noFill/>
              </a:ln>
              <a:effectLst/>
            </c:spPr>
            <c:extLst>
              <c:ext xmlns:c16="http://schemas.microsoft.com/office/drawing/2014/chart" uri="{C3380CC4-5D6E-409C-BE32-E72D297353CC}">
                <c16:uniqueId val="{0000000C-5DB1-4D53-8B4E-3D0209A83A32}"/>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5DB1-4D53-8B4E-3D0209A83A32}"/>
              </c:ext>
            </c:extLst>
          </c:dPt>
          <c:dPt>
            <c:idx val="2"/>
            <c:bubble3D val="0"/>
            <c:spPr>
              <a:noFill/>
              <a:ln>
                <a:noFill/>
              </a:ln>
              <a:effectLst/>
            </c:spPr>
            <c:extLst>
              <c:ext xmlns:c16="http://schemas.microsoft.com/office/drawing/2014/chart" uri="{C3380CC4-5D6E-409C-BE32-E72D297353CC}">
                <c16:uniqueId val="{00000010-5DB1-4D53-8B4E-3D0209A83A32}"/>
              </c:ext>
            </c:extLst>
          </c:dPt>
          <c:val>
            <c:numRef>
              <c:f>Grafieke!$F$18:$F$20</c:f>
              <c:numCache>
                <c:formatCode>General</c:formatCode>
                <c:ptCount val="3"/>
                <c:pt idx="0" formatCode="0">
                  <c:v>37.251980988172058</c:v>
                </c:pt>
                <c:pt idx="1">
                  <c:v>1</c:v>
                </c:pt>
                <c:pt idx="2" formatCode="0">
                  <c:v>161.74801901182795</c:v>
                </c:pt>
              </c:numCache>
            </c:numRef>
          </c:val>
          <c:extLst>
            <c:ext xmlns:c16="http://schemas.microsoft.com/office/drawing/2014/chart" uri="{C3380CC4-5D6E-409C-BE32-E72D297353CC}">
              <c16:uniqueId val="{00000011-5DB1-4D53-8B4E-3D0209A83A32}"/>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ZA" b="1"/>
              <a:t>Maize</a:t>
            </a:r>
            <a:r>
              <a:rPr lang="en-ZA" b="1" baseline="0"/>
              <a:t> profitability </a:t>
            </a:r>
            <a:r>
              <a:rPr lang="en-ZA" sz="1200" b="1" baseline="0"/>
              <a:t>(Higher yield)</a:t>
            </a:r>
            <a:endParaRPr lang="en-ZA" sz="1050" b="1"/>
          </a:p>
        </c:rich>
      </c:tx>
      <c:layout>
        <c:manualLayout>
          <c:xMode val="edge"/>
          <c:yMode val="edge"/>
          <c:x val="0.28843510540431561"/>
          <c:y val="4.7382498526292366E-2"/>
        </c:manualLayout>
      </c:layout>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tx>
            <c:strRef>
              <c:f>Grafieke!$A$1</c:f>
              <c:strCache>
                <c:ptCount val="1"/>
                <c:pt idx="0">
                  <c:v>Winsgewendheid: Mielies (Hoer opbrengs)</c:v>
                </c:pt>
              </c:strCache>
            </c:strRef>
          </c:tx>
          <c:explosion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560E-44B0-BC2F-2925787B4C27}"/>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560E-44B0-BC2F-2925787B4C27}"/>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560E-44B0-BC2F-2925787B4C27}"/>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560E-44B0-BC2F-2925787B4C27}"/>
              </c:ext>
            </c:extLst>
          </c:dPt>
          <c:dPt>
            <c:idx val="4"/>
            <c:bubble3D val="0"/>
            <c:spPr>
              <a:noFill/>
              <a:ln>
                <a:noFill/>
              </a:ln>
              <a:effectLst/>
            </c:spPr>
            <c:extLst>
              <c:ext xmlns:c16="http://schemas.microsoft.com/office/drawing/2014/chart" uri="{C3380CC4-5D6E-409C-BE32-E72D297353CC}">
                <c16:uniqueId val="{00000009-560E-44B0-BC2F-2925787B4C27}"/>
              </c:ext>
            </c:extLst>
          </c:dPt>
          <c:dLbls>
            <c:dLbl>
              <c:idx val="0"/>
              <c:delete val="1"/>
              <c:extLst>
                <c:ext xmlns:c15="http://schemas.microsoft.com/office/drawing/2012/chart" uri="{CE6537A1-D6FC-4f65-9D91-7224C49458BB}"/>
                <c:ext xmlns:c16="http://schemas.microsoft.com/office/drawing/2014/chart" uri="{C3380CC4-5D6E-409C-BE32-E72D297353CC}">
                  <c16:uniqueId val="{00000001-560E-44B0-BC2F-2925787B4C27}"/>
                </c:ext>
              </c:extLst>
            </c:dLbl>
            <c:dLbl>
              <c:idx val="1"/>
              <c:tx>
                <c:rich>
                  <a:bodyPr/>
                  <a:lstStyle/>
                  <a:p>
                    <a:r>
                      <a:rPr lang="en-US"/>
                      <a:t>Variable</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560E-44B0-BC2F-2925787B4C27}"/>
                </c:ext>
              </c:extLst>
            </c:dLbl>
            <c:dLbl>
              <c:idx val="2"/>
              <c:tx>
                <c:rich>
                  <a:bodyPr/>
                  <a:lstStyle/>
                  <a:p>
                    <a:r>
                      <a:rPr lang="en-US"/>
                      <a:t>Fixed</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560E-44B0-BC2F-2925787B4C27}"/>
                </c:ext>
              </c:extLst>
            </c:dLbl>
            <c:dLbl>
              <c:idx val="3"/>
              <c:tx>
                <c:rich>
                  <a:bodyPr/>
                  <a:lstStyle/>
                  <a:p>
                    <a:r>
                      <a:rPr lang="en-US"/>
                      <a:t>Profit</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560E-44B0-BC2F-2925787B4C27}"/>
                </c:ext>
              </c:extLst>
            </c:dLbl>
            <c:dLbl>
              <c:idx val="4"/>
              <c:delete val="1"/>
              <c:extLst>
                <c:ext xmlns:c15="http://schemas.microsoft.com/office/drawing/2012/chart" uri="{CE6537A1-D6FC-4f65-9D91-7224C49458BB}"/>
                <c:ext xmlns:c16="http://schemas.microsoft.com/office/drawing/2014/chart" uri="{C3380CC4-5D6E-409C-BE32-E72D297353CC}">
                  <c16:uniqueId val="{00000009-560E-44B0-BC2F-2925787B4C27}"/>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Grafieke!$C$2:$C$6</c:f>
              <c:numCache>
                <c:formatCode>0</c:formatCode>
                <c:ptCount val="5"/>
                <c:pt idx="0" formatCode="General">
                  <c:v>0</c:v>
                </c:pt>
                <c:pt idx="1">
                  <c:v>44.068307955630324</c:v>
                </c:pt>
                <c:pt idx="2">
                  <c:v>14.846874132138055</c:v>
                </c:pt>
                <c:pt idx="3">
                  <c:v>41.084817912231628</c:v>
                </c:pt>
                <c:pt idx="4" formatCode="General">
                  <c:v>100</c:v>
                </c:pt>
              </c:numCache>
            </c:numRef>
          </c:val>
          <c:extLst>
            <c:ext xmlns:c16="http://schemas.microsoft.com/office/drawing/2014/chart" uri="{C3380CC4-5D6E-409C-BE32-E72D297353CC}">
              <c16:uniqueId val="{0000000A-560E-44B0-BC2F-2925787B4C27}"/>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Grafieke!$D$1</c:f>
              <c:strCache>
                <c:ptCount val="1"/>
                <c:pt idx="0">
                  <c:v>Pointer</c:v>
                </c:pt>
              </c:strCache>
            </c:strRef>
          </c:tx>
          <c:dPt>
            <c:idx val="0"/>
            <c:bubble3D val="0"/>
            <c:spPr>
              <a:noFill/>
              <a:ln>
                <a:noFill/>
              </a:ln>
              <a:effectLst/>
            </c:spPr>
            <c:extLst>
              <c:ext xmlns:c16="http://schemas.microsoft.com/office/drawing/2014/chart" uri="{C3380CC4-5D6E-409C-BE32-E72D297353CC}">
                <c16:uniqueId val="{0000000C-560E-44B0-BC2F-2925787B4C27}"/>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560E-44B0-BC2F-2925787B4C27}"/>
              </c:ext>
            </c:extLst>
          </c:dPt>
          <c:dPt>
            <c:idx val="2"/>
            <c:bubble3D val="0"/>
            <c:spPr>
              <a:noFill/>
              <a:ln>
                <a:noFill/>
              </a:ln>
              <a:effectLst/>
            </c:spPr>
            <c:extLst>
              <c:ext xmlns:c16="http://schemas.microsoft.com/office/drawing/2014/chart" uri="{C3380CC4-5D6E-409C-BE32-E72D297353CC}">
                <c16:uniqueId val="{00000010-560E-44B0-BC2F-2925787B4C27}"/>
              </c:ext>
            </c:extLst>
          </c:dPt>
          <c:val>
            <c:numRef>
              <c:f>Grafieke!$F$2:$F$4</c:f>
              <c:numCache>
                <c:formatCode>General</c:formatCode>
                <c:ptCount val="3"/>
                <c:pt idx="0" formatCode="0">
                  <c:v>41.084817912231628</c:v>
                </c:pt>
                <c:pt idx="1">
                  <c:v>1</c:v>
                </c:pt>
                <c:pt idx="2" formatCode="0">
                  <c:v>157.91518208776836</c:v>
                </c:pt>
              </c:numCache>
            </c:numRef>
          </c:val>
          <c:extLst>
            <c:ext xmlns:c16="http://schemas.microsoft.com/office/drawing/2014/chart" uri="{C3380CC4-5D6E-409C-BE32-E72D297353CC}">
              <c16:uniqueId val="{00000011-560E-44B0-BC2F-2925787B4C27}"/>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Mielie</a:t>
            </a:r>
            <a:r>
              <a:rPr lang="en-GB" baseline="0"/>
              <a:t>winsgewendheid </a:t>
            </a:r>
            <a:r>
              <a:rPr lang="en-GB" sz="1200" b="0" baseline="0"/>
              <a:t>(Gemiddelde opbrengs)</a:t>
            </a:r>
            <a:endParaRPr lang="en-GB" b="0"/>
          </a:p>
        </c:rich>
      </c:tx>
      <c:overlay val="0"/>
    </c:title>
    <c:autoTitleDeleted val="0"/>
    <c:plotArea>
      <c:layout>
        <c:manualLayout>
          <c:layoutTarget val="inner"/>
          <c:xMode val="edge"/>
          <c:yMode val="edge"/>
          <c:x val="0.32654288831570549"/>
          <c:y val="0.21822819758293505"/>
          <c:w val="0.37018027676117948"/>
          <c:h val="0.77913437697758137"/>
        </c:manualLayout>
      </c:layout>
      <c:doughnutChart>
        <c:varyColors val="1"/>
        <c:ser>
          <c:idx val="0"/>
          <c:order val="0"/>
          <c:tx>
            <c:strRef>
              <c:f>Grafieke!$A$17</c:f>
              <c:strCache>
                <c:ptCount val="1"/>
                <c:pt idx="0">
                  <c:v>Winsgewendheid: Mielies (Gemid opbrengs)</c:v>
                </c:pt>
              </c:strCache>
            </c:strRef>
          </c:tx>
          <c:explosion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3165-46E7-B835-90500ECC02E7}"/>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3165-46E7-B835-90500ECC02E7}"/>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3165-46E7-B835-90500ECC02E7}"/>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3165-46E7-B835-90500ECC02E7}"/>
              </c:ext>
            </c:extLst>
          </c:dPt>
          <c:dPt>
            <c:idx val="4"/>
            <c:bubble3D val="0"/>
            <c:spPr>
              <a:noFill/>
              <a:ln>
                <a:noFill/>
              </a:ln>
              <a:effectLst/>
            </c:spPr>
            <c:extLst>
              <c:ext xmlns:c16="http://schemas.microsoft.com/office/drawing/2014/chart" uri="{C3380CC4-5D6E-409C-BE32-E72D297353CC}">
                <c16:uniqueId val="{00000009-3165-46E7-B835-90500ECC02E7}"/>
              </c:ext>
            </c:extLst>
          </c:dPt>
          <c:dLbls>
            <c:dLbl>
              <c:idx val="0"/>
              <c:delete val="1"/>
              <c:extLst>
                <c:ext xmlns:c15="http://schemas.microsoft.com/office/drawing/2012/chart" uri="{CE6537A1-D6FC-4f65-9D91-7224C49458BB}"/>
                <c:ext xmlns:c16="http://schemas.microsoft.com/office/drawing/2014/chart" uri="{C3380CC4-5D6E-409C-BE32-E72D297353CC}">
                  <c16:uniqueId val="{00000001-3165-46E7-B835-90500ECC02E7}"/>
                </c:ext>
              </c:extLst>
            </c:dLbl>
            <c:dLbl>
              <c:idx val="1"/>
              <c:tx>
                <c:rich>
                  <a:bodyPr/>
                  <a:lstStyle/>
                  <a:p>
                    <a:r>
                      <a:rPr lang="en-US" baseline="0"/>
                      <a:t>Veranderlike koste</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3165-46E7-B835-90500ECC02E7}"/>
                </c:ext>
              </c:extLst>
            </c:dLbl>
            <c:dLbl>
              <c:idx val="2"/>
              <c:tx>
                <c:rich>
                  <a:bodyPr/>
                  <a:lstStyle/>
                  <a:p>
                    <a:r>
                      <a:rPr lang="en-US"/>
                      <a:t>Vaste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3165-46E7-B835-90500ECC02E7}"/>
                </c:ext>
              </c:extLst>
            </c:dLbl>
            <c:dLbl>
              <c:idx val="3"/>
              <c:tx>
                <c:rich>
                  <a:bodyPr/>
                  <a:lstStyle/>
                  <a:p>
                    <a:r>
                      <a:rPr lang="en-US"/>
                      <a:t>Wins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3165-46E7-B835-90500ECC02E7}"/>
                </c:ext>
              </c:extLst>
            </c:dLbl>
            <c:dLbl>
              <c:idx val="4"/>
              <c:delete val="1"/>
              <c:extLst>
                <c:ext xmlns:c15="http://schemas.microsoft.com/office/drawing/2012/chart" uri="{CE6537A1-D6FC-4f65-9D91-7224C49458BB}"/>
                <c:ext xmlns:c16="http://schemas.microsoft.com/office/drawing/2014/chart" uri="{C3380CC4-5D6E-409C-BE32-E72D297353CC}">
                  <c16:uniqueId val="{00000009-3165-46E7-B835-90500ECC02E7}"/>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Grafieke!$C$18:$C$22</c:f>
              <c:numCache>
                <c:formatCode>0</c:formatCode>
                <c:ptCount val="5"/>
                <c:pt idx="0" formatCode="General">
                  <c:v>0</c:v>
                </c:pt>
                <c:pt idx="1">
                  <c:v>43.11021842465933</c:v>
                </c:pt>
                <c:pt idx="2">
                  <c:v>19.637800587168613</c:v>
                </c:pt>
                <c:pt idx="3">
                  <c:v>37.251980988172058</c:v>
                </c:pt>
                <c:pt idx="4">
                  <c:v>100</c:v>
                </c:pt>
              </c:numCache>
            </c:numRef>
          </c:val>
          <c:extLst>
            <c:ext xmlns:c16="http://schemas.microsoft.com/office/drawing/2014/chart" uri="{C3380CC4-5D6E-409C-BE32-E72D297353CC}">
              <c16:uniqueId val="{0000000A-3165-46E7-B835-90500ECC02E7}"/>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Grafieke!$D$1</c:f>
              <c:strCache>
                <c:ptCount val="1"/>
                <c:pt idx="0">
                  <c:v>Pointer</c:v>
                </c:pt>
              </c:strCache>
            </c:strRef>
          </c:tx>
          <c:dPt>
            <c:idx val="0"/>
            <c:bubble3D val="0"/>
            <c:spPr>
              <a:noFill/>
              <a:ln>
                <a:noFill/>
              </a:ln>
              <a:effectLst/>
            </c:spPr>
            <c:extLst>
              <c:ext xmlns:c16="http://schemas.microsoft.com/office/drawing/2014/chart" uri="{C3380CC4-5D6E-409C-BE32-E72D297353CC}">
                <c16:uniqueId val="{0000000C-3165-46E7-B835-90500ECC02E7}"/>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3165-46E7-B835-90500ECC02E7}"/>
              </c:ext>
            </c:extLst>
          </c:dPt>
          <c:dPt>
            <c:idx val="2"/>
            <c:bubble3D val="0"/>
            <c:spPr>
              <a:noFill/>
              <a:ln>
                <a:noFill/>
              </a:ln>
              <a:effectLst/>
            </c:spPr>
            <c:extLst>
              <c:ext xmlns:c16="http://schemas.microsoft.com/office/drawing/2014/chart" uri="{C3380CC4-5D6E-409C-BE32-E72D297353CC}">
                <c16:uniqueId val="{00000010-3165-46E7-B835-90500ECC02E7}"/>
              </c:ext>
            </c:extLst>
          </c:dPt>
          <c:val>
            <c:numRef>
              <c:f>Grafieke!$F$18:$F$20</c:f>
              <c:numCache>
                <c:formatCode>General</c:formatCode>
                <c:ptCount val="3"/>
                <c:pt idx="0" formatCode="0">
                  <c:v>37.251980988172058</c:v>
                </c:pt>
                <c:pt idx="1">
                  <c:v>1</c:v>
                </c:pt>
                <c:pt idx="2" formatCode="0">
                  <c:v>161.74801901182795</c:v>
                </c:pt>
              </c:numCache>
            </c:numRef>
          </c:val>
          <c:extLst>
            <c:ext xmlns:c16="http://schemas.microsoft.com/office/drawing/2014/chart" uri="{C3380CC4-5D6E-409C-BE32-E72D297353CC}">
              <c16:uniqueId val="{00000011-3165-46E7-B835-90500ECC02E7}"/>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Sonneblomwinsgewendheid</a:t>
            </a:r>
          </a:p>
        </c:rich>
      </c:tx>
      <c:overlay val="0"/>
    </c:title>
    <c:autoTitleDeleted val="0"/>
    <c:plotArea>
      <c:layout>
        <c:manualLayout>
          <c:layoutTarget val="inner"/>
          <c:xMode val="edge"/>
          <c:yMode val="edge"/>
          <c:x val="0.3138312504815724"/>
          <c:y val="0.20618906700407469"/>
          <c:w val="0.37233766297638776"/>
          <c:h val="0.79165019711181517"/>
        </c:manualLayout>
      </c:layout>
      <c:doughnutChart>
        <c:varyColors val="1"/>
        <c:ser>
          <c:idx val="0"/>
          <c:order val="0"/>
          <c:tx>
            <c:strRef>
              <c:f>Grafieke!$A$34</c:f>
              <c:strCache>
                <c:ptCount val="1"/>
                <c:pt idx="0">
                  <c:v>Winsgewendheid: Sonneblom</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17FD-412F-873E-C961BFCA90A3}"/>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17FD-412F-873E-C961BFCA90A3}"/>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17FD-412F-873E-C961BFCA90A3}"/>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17FD-412F-873E-C961BFCA90A3}"/>
              </c:ext>
            </c:extLst>
          </c:dPt>
          <c:dPt>
            <c:idx val="4"/>
            <c:bubble3D val="0"/>
            <c:spPr>
              <a:noFill/>
              <a:ln>
                <a:noFill/>
              </a:ln>
              <a:effectLst/>
            </c:spPr>
            <c:extLst>
              <c:ext xmlns:c16="http://schemas.microsoft.com/office/drawing/2014/chart" uri="{C3380CC4-5D6E-409C-BE32-E72D297353CC}">
                <c16:uniqueId val="{00000009-17FD-412F-873E-C961BFCA90A3}"/>
              </c:ext>
            </c:extLst>
          </c:dPt>
          <c:dLbls>
            <c:dLbl>
              <c:idx val="0"/>
              <c:delete val="1"/>
              <c:extLst>
                <c:ext xmlns:c15="http://schemas.microsoft.com/office/drawing/2012/chart" uri="{CE6537A1-D6FC-4f65-9D91-7224C49458BB}"/>
                <c:ext xmlns:c16="http://schemas.microsoft.com/office/drawing/2014/chart" uri="{C3380CC4-5D6E-409C-BE32-E72D297353CC}">
                  <c16:uniqueId val="{00000001-17FD-412F-873E-C961BFCA90A3}"/>
                </c:ext>
              </c:extLst>
            </c:dLbl>
            <c:dLbl>
              <c:idx val="1"/>
              <c:tx>
                <c:rich>
                  <a:bodyPr/>
                  <a:lstStyle/>
                  <a:p>
                    <a:r>
                      <a:rPr lang="en-US"/>
                      <a:t>Veranderlike</a:t>
                    </a:r>
                    <a:r>
                      <a:rPr lang="en-US" baseline="0"/>
                      <a:t> koste  </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17FD-412F-873E-C961BFCA90A3}"/>
                </c:ext>
              </c:extLst>
            </c:dLbl>
            <c:dLbl>
              <c:idx val="2"/>
              <c:layout>
                <c:manualLayout>
                  <c:x val="-2.033760423022168E-3"/>
                  <c:y val="-4.3830813061582694E-3"/>
                </c:manualLayout>
              </c:layout>
              <c:tx>
                <c:rich>
                  <a:bodyPr/>
                  <a:lstStyle/>
                  <a:p>
                    <a:r>
                      <a:rPr lang="en-US"/>
                      <a:t>Vaste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17FD-412F-873E-C961BFCA90A3}"/>
                </c:ext>
              </c:extLst>
            </c:dLbl>
            <c:dLbl>
              <c:idx val="3"/>
              <c:tx>
                <c:rich>
                  <a:bodyPr/>
                  <a:lstStyle/>
                  <a:p>
                    <a:r>
                      <a:rPr lang="en-US"/>
                      <a:t>Wins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17FD-412F-873E-C961BFCA90A3}"/>
                </c:ext>
              </c:extLst>
            </c:dLbl>
            <c:dLbl>
              <c:idx val="4"/>
              <c:delete val="1"/>
              <c:extLst>
                <c:ext xmlns:c15="http://schemas.microsoft.com/office/drawing/2012/chart" uri="{CE6537A1-D6FC-4f65-9D91-7224C49458BB}"/>
                <c:ext xmlns:c16="http://schemas.microsoft.com/office/drawing/2014/chart" uri="{C3380CC4-5D6E-409C-BE32-E72D297353CC}">
                  <c16:uniqueId val="{00000009-17FD-412F-873E-C961BFCA90A3}"/>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Grafieke!$C$35:$C$39</c:f>
              <c:numCache>
                <c:formatCode>0</c:formatCode>
                <c:ptCount val="5"/>
                <c:pt idx="0" formatCode="General">
                  <c:v>0</c:v>
                </c:pt>
                <c:pt idx="1">
                  <c:v>34.697802078282756</c:v>
                </c:pt>
                <c:pt idx="2">
                  <c:v>20.75043449456895</c:v>
                </c:pt>
                <c:pt idx="3">
                  <c:v>44.551763427148288</c:v>
                </c:pt>
                <c:pt idx="4" formatCode="General">
                  <c:v>100</c:v>
                </c:pt>
              </c:numCache>
            </c:numRef>
          </c:val>
          <c:extLst>
            <c:ext xmlns:c16="http://schemas.microsoft.com/office/drawing/2014/chart" uri="{C3380CC4-5D6E-409C-BE32-E72D297353CC}">
              <c16:uniqueId val="{0000000A-17FD-412F-873E-C961BFCA90A3}"/>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Grafieke!$D$34</c:f>
              <c:strCache>
                <c:ptCount val="1"/>
                <c:pt idx="0">
                  <c:v>Pointer</c:v>
                </c:pt>
              </c:strCache>
            </c:strRef>
          </c:tx>
          <c:dPt>
            <c:idx val="0"/>
            <c:bubble3D val="0"/>
            <c:spPr>
              <a:noFill/>
              <a:ln>
                <a:noFill/>
              </a:ln>
              <a:effectLst/>
            </c:spPr>
            <c:extLst>
              <c:ext xmlns:c16="http://schemas.microsoft.com/office/drawing/2014/chart" uri="{C3380CC4-5D6E-409C-BE32-E72D297353CC}">
                <c16:uniqueId val="{0000000C-17FD-412F-873E-C961BFCA90A3}"/>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17FD-412F-873E-C961BFCA90A3}"/>
              </c:ext>
            </c:extLst>
          </c:dPt>
          <c:dPt>
            <c:idx val="2"/>
            <c:bubble3D val="0"/>
            <c:spPr>
              <a:noFill/>
              <a:ln>
                <a:noFill/>
              </a:ln>
              <a:effectLst/>
            </c:spPr>
            <c:extLst>
              <c:ext xmlns:c16="http://schemas.microsoft.com/office/drawing/2014/chart" uri="{C3380CC4-5D6E-409C-BE32-E72D297353CC}">
                <c16:uniqueId val="{00000010-17FD-412F-873E-C961BFCA90A3}"/>
              </c:ext>
            </c:extLst>
          </c:dPt>
          <c:val>
            <c:numRef>
              <c:f>Grafieke!$F$35:$F$37</c:f>
              <c:numCache>
                <c:formatCode>General</c:formatCode>
                <c:ptCount val="3"/>
                <c:pt idx="0" formatCode="0">
                  <c:v>44.551763427148288</c:v>
                </c:pt>
                <c:pt idx="1">
                  <c:v>1</c:v>
                </c:pt>
                <c:pt idx="2" formatCode="0">
                  <c:v>154.44823657285173</c:v>
                </c:pt>
              </c:numCache>
            </c:numRef>
          </c:val>
          <c:extLst>
            <c:ext xmlns:c16="http://schemas.microsoft.com/office/drawing/2014/chart" uri="{C3380CC4-5D6E-409C-BE32-E72D297353CC}">
              <c16:uniqueId val="{00000011-17FD-412F-873E-C961BFCA90A3}"/>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Sojaboonwinsgewendheid</a:t>
            </a:r>
          </a:p>
        </c:rich>
      </c:tx>
      <c:overlay val="0"/>
    </c:title>
    <c:autoTitleDeleted val="0"/>
    <c:plotArea>
      <c:layout>
        <c:manualLayout>
          <c:layoutTarget val="inner"/>
          <c:xMode val="edge"/>
          <c:yMode val="edge"/>
          <c:x val="0.36037877631048026"/>
          <c:y val="0.21892698412698408"/>
          <c:w val="0.31149726041791997"/>
          <c:h val="0.77872658730158728"/>
        </c:manualLayout>
      </c:layout>
      <c:doughnutChart>
        <c:varyColors val="1"/>
        <c:ser>
          <c:idx val="0"/>
          <c:order val="0"/>
          <c:tx>
            <c:strRef>
              <c:f>Grafieke!$A$51</c:f>
              <c:strCache>
                <c:ptCount val="1"/>
                <c:pt idx="0">
                  <c:v>Winsgewendheid: Sojabone</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EDF3-4EDE-9E13-E459DAF0058C}"/>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EDF3-4EDE-9E13-E459DAF0058C}"/>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EDF3-4EDE-9E13-E459DAF0058C}"/>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EDF3-4EDE-9E13-E459DAF0058C}"/>
              </c:ext>
            </c:extLst>
          </c:dPt>
          <c:dPt>
            <c:idx val="4"/>
            <c:bubble3D val="0"/>
            <c:spPr>
              <a:noFill/>
              <a:ln>
                <a:noFill/>
              </a:ln>
              <a:effectLst/>
            </c:spPr>
            <c:extLst>
              <c:ext xmlns:c16="http://schemas.microsoft.com/office/drawing/2014/chart" uri="{C3380CC4-5D6E-409C-BE32-E72D297353CC}">
                <c16:uniqueId val="{00000009-EDF3-4EDE-9E13-E459DAF0058C}"/>
              </c:ext>
            </c:extLst>
          </c:dPt>
          <c:dLbls>
            <c:dLbl>
              <c:idx val="0"/>
              <c:delete val="1"/>
              <c:extLst>
                <c:ext xmlns:c15="http://schemas.microsoft.com/office/drawing/2012/chart" uri="{CE6537A1-D6FC-4f65-9D91-7224C49458BB}"/>
                <c:ext xmlns:c16="http://schemas.microsoft.com/office/drawing/2014/chart" uri="{C3380CC4-5D6E-409C-BE32-E72D297353CC}">
                  <c16:uniqueId val="{00000001-EDF3-4EDE-9E13-E459DAF0058C}"/>
                </c:ext>
              </c:extLst>
            </c:dLbl>
            <c:dLbl>
              <c:idx val="1"/>
              <c:tx>
                <c:rich>
                  <a:bodyPr/>
                  <a:lstStyle/>
                  <a:p>
                    <a:r>
                      <a:rPr lang="en-US"/>
                      <a:t>Veranderlike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EDF3-4EDE-9E13-E459DAF0058C}"/>
                </c:ext>
              </c:extLst>
            </c:dLbl>
            <c:dLbl>
              <c:idx val="2"/>
              <c:tx>
                <c:rich>
                  <a:bodyPr/>
                  <a:lstStyle/>
                  <a:p>
                    <a:r>
                      <a:rPr lang="en-US"/>
                      <a:t>Vaste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EDF3-4EDE-9E13-E459DAF0058C}"/>
                </c:ext>
              </c:extLst>
            </c:dLbl>
            <c:dLbl>
              <c:idx val="3"/>
              <c:tx>
                <c:rich>
                  <a:bodyPr/>
                  <a:lstStyle/>
                  <a:p>
                    <a:r>
                      <a:rPr lang="en-US"/>
                      <a:t>Wins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EDF3-4EDE-9E13-E459DAF0058C}"/>
                </c:ext>
              </c:extLst>
            </c:dLbl>
            <c:dLbl>
              <c:idx val="4"/>
              <c:delete val="1"/>
              <c:extLst>
                <c:ext xmlns:c15="http://schemas.microsoft.com/office/drawing/2012/chart" uri="{CE6537A1-D6FC-4f65-9D91-7224C49458BB}"/>
                <c:ext xmlns:c16="http://schemas.microsoft.com/office/drawing/2014/chart" uri="{C3380CC4-5D6E-409C-BE32-E72D297353CC}">
                  <c16:uniqueId val="{00000009-EDF3-4EDE-9E13-E459DAF0058C}"/>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Grafieke!$C$52:$C$56</c:f>
              <c:numCache>
                <c:formatCode>0</c:formatCode>
                <c:ptCount val="5"/>
                <c:pt idx="0" formatCode="General">
                  <c:v>0</c:v>
                </c:pt>
                <c:pt idx="1">
                  <c:v>40.731162315504456</c:v>
                </c:pt>
                <c:pt idx="2">
                  <c:v>17.95038877752982</c:v>
                </c:pt>
                <c:pt idx="3">
                  <c:v>41.318448906965727</c:v>
                </c:pt>
                <c:pt idx="4" formatCode="General">
                  <c:v>100</c:v>
                </c:pt>
              </c:numCache>
            </c:numRef>
          </c:val>
          <c:extLst>
            <c:ext xmlns:c16="http://schemas.microsoft.com/office/drawing/2014/chart" uri="{C3380CC4-5D6E-409C-BE32-E72D297353CC}">
              <c16:uniqueId val="{0000000A-EDF3-4EDE-9E13-E459DAF0058C}"/>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Grafieke!$D$51</c:f>
              <c:strCache>
                <c:ptCount val="1"/>
                <c:pt idx="0">
                  <c:v>Pointer</c:v>
                </c:pt>
              </c:strCache>
            </c:strRef>
          </c:tx>
          <c:dPt>
            <c:idx val="0"/>
            <c:bubble3D val="0"/>
            <c:spPr>
              <a:noFill/>
              <a:ln>
                <a:noFill/>
              </a:ln>
              <a:effectLst/>
            </c:spPr>
            <c:extLst>
              <c:ext xmlns:c16="http://schemas.microsoft.com/office/drawing/2014/chart" uri="{C3380CC4-5D6E-409C-BE32-E72D297353CC}">
                <c16:uniqueId val="{0000000C-EDF3-4EDE-9E13-E459DAF0058C}"/>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EDF3-4EDE-9E13-E459DAF0058C}"/>
              </c:ext>
            </c:extLst>
          </c:dPt>
          <c:dPt>
            <c:idx val="2"/>
            <c:bubble3D val="0"/>
            <c:spPr>
              <a:noFill/>
              <a:ln>
                <a:noFill/>
              </a:ln>
              <a:effectLst/>
            </c:spPr>
            <c:extLst>
              <c:ext xmlns:c16="http://schemas.microsoft.com/office/drawing/2014/chart" uri="{C3380CC4-5D6E-409C-BE32-E72D297353CC}">
                <c16:uniqueId val="{00000010-EDF3-4EDE-9E13-E459DAF0058C}"/>
              </c:ext>
            </c:extLst>
          </c:dPt>
          <c:val>
            <c:numRef>
              <c:f>Grafieke!$F$52:$F$54</c:f>
              <c:numCache>
                <c:formatCode>General</c:formatCode>
                <c:ptCount val="3"/>
                <c:pt idx="0" formatCode="0">
                  <c:v>41.318448906965727</c:v>
                </c:pt>
                <c:pt idx="1">
                  <c:v>1</c:v>
                </c:pt>
                <c:pt idx="2" formatCode="0">
                  <c:v>157.68155109303427</c:v>
                </c:pt>
              </c:numCache>
            </c:numRef>
          </c:val>
          <c:extLst>
            <c:ext xmlns:c16="http://schemas.microsoft.com/office/drawing/2014/chart" uri="{C3380CC4-5D6E-409C-BE32-E72D297353CC}">
              <c16:uniqueId val="{00000011-EDF3-4EDE-9E13-E459DAF0058C}"/>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10" Type="http://schemas.openxmlformats.org/officeDocument/2006/relationships/chart" Target="../charts/chart11.xml"/><Relationship Id="rId4" Type="http://schemas.openxmlformats.org/officeDocument/2006/relationships/chart" Target="../charts/chart5.xml"/><Relationship Id="rId9"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3.jpe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3.jpeg"/><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398930</xdr:colOff>
      <xdr:row>2</xdr:row>
      <xdr:rowOff>239806</xdr:rowOff>
    </xdr:from>
    <xdr:to>
      <xdr:col>5</xdr:col>
      <xdr:colOff>627203</xdr:colOff>
      <xdr:row>7</xdr:row>
      <xdr:rowOff>96109</xdr:rowOff>
    </xdr:to>
    <xdr:pic>
      <xdr:nvPicPr>
        <xdr:cNvPr id="2" name="Picture 1" descr="GrainSA - YouTube">
          <a:extLst>
            <a:ext uri="{FF2B5EF4-FFF2-40B4-BE49-F238E27FC236}">
              <a16:creationId xmlns:a16="http://schemas.microsoft.com/office/drawing/2014/main" id="{11F67180-63DA-48E9-B71E-D5569B07E2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58318" y="768724"/>
          <a:ext cx="967189" cy="891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624624</xdr:colOff>
      <xdr:row>0</xdr:row>
      <xdr:rowOff>0</xdr:rowOff>
    </xdr:from>
    <xdr:to>
      <xdr:col>27</xdr:col>
      <xdr:colOff>617004</xdr:colOff>
      <xdr:row>13</xdr:row>
      <xdr:rowOff>115759</xdr:rowOff>
    </xdr:to>
    <xdr:graphicFrame macro="">
      <xdr:nvGraphicFramePr>
        <xdr:cNvPr id="2" name="Chart 1">
          <a:extLst>
            <a:ext uri="{FF2B5EF4-FFF2-40B4-BE49-F238E27FC236}">
              <a16:creationId xmlns:a16="http://schemas.microsoft.com/office/drawing/2014/main" id="{829025B6-6A35-439C-8757-781BE6F4C3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33</xdr:row>
      <xdr:rowOff>15239</xdr:rowOff>
    </xdr:from>
    <xdr:to>
      <xdr:col>17</xdr:col>
      <xdr:colOff>15240</xdr:colOff>
      <xdr:row>46</xdr:row>
      <xdr:rowOff>130998</xdr:rowOff>
    </xdr:to>
    <xdr:graphicFrame macro="">
      <xdr:nvGraphicFramePr>
        <xdr:cNvPr id="3" name="Chart 2">
          <a:extLst>
            <a:ext uri="{FF2B5EF4-FFF2-40B4-BE49-F238E27FC236}">
              <a16:creationId xmlns:a16="http://schemas.microsoft.com/office/drawing/2014/main" id="{31119E32-79E0-43E4-BC97-440F8461C8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9525</xdr:colOff>
      <xdr:row>50</xdr:row>
      <xdr:rowOff>15238</xdr:rowOff>
    </xdr:from>
    <xdr:to>
      <xdr:col>17</xdr:col>
      <xdr:colOff>8964</xdr:colOff>
      <xdr:row>63</xdr:row>
      <xdr:rowOff>130996</xdr:rowOff>
    </xdr:to>
    <xdr:graphicFrame macro="">
      <xdr:nvGraphicFramePr>
        <xdr:cNvPr id="4" name="Chart 3">
          <a:extLst>
            <a:ext uri="{FF2B5EF4-FFF2-40B4-BE49-F238E27FC236}">
              <a16:creationId xmlns:a16="http://schemas.microsoft.com/office/drawing/2014/main" id="{AF0879CF-80DF-4A76-8CC0-6ED9F7B923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592629</xdr:colOff>
      <xdr:row>16</xdr:row>
      <xdr:rowOff>34636</xdr:rowOff>
    </xdr:from>
    <xdr:to>
      <xdr:col>16</xdr:col>
      <xdr:colOff>484909</xdr:colOff>
      <xdr:row>29</xdr:row>
      <xdr:rowOff>150394</xdr:rowOff>
    </xdr:to>
    <xdr:graphicFrame macro="">
      <xdr:nvGraphicFramePr>
        <xdr:cNvPr id="5" name="Chart 4">
          <a:extLst>
            <a:ext uri="{FF2B5EF4-FFF2-40B4-BE49-F238E27FC236}">
              <a16:creationId xmlns:a16="http://schemas.microsoft.com/office/drawing/2014/main" id="{E4438566-C884-4CE7-9093-793CC930F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xdr:colOff>
      <xdr:row>0</xdr:row>
      <xdr:rowOff>0</xdr:rowOff>
    </xdr:from>
    <xdr:to>
      <xdr:col>16</xdr:col>
      <xdr:colOff>609599</xdr:colOff>
      <xdr:row>13</xdr:row>
      <xdr:rowOff>115759</xdr:rowOff>
    </xdr:to>
    <xdr:graphicFrame macro="">
      <xdr:nvGraphicFramePr>
        <xdr:cNvPr id="6" name="Chart 5">
          <a:extLst>
            <a:ext uri="{FF2B5EF4-FFF2-40B4-BE49-F238E27FC236}">
              <a16:creationId xmlns:a16="http://schemas.microsoft.com/office/drawing/2014/main" id="{02CBD57B-6B0B-4351-B00D-07E9D66C09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0</xdr:colOff>
      <xdr:row>16</xdr:row>
      <xdr:rowOff>0</xdr:rowOff>
    </xdr:from>
    <xdr:to>
      <xdr:col>27</xdr:col>
      <xdr:colOff>617219</xdr:colOff>
      <xdr:row>29</xdr:row>
      <xdr:rowOff>115758</xdr:rowOff>
    </xdr:to>
    <xdr:graphicFrame macro="">
      <xdr:nvGraphicFramePr>
        <xdr:cNvPr id="7" name="Chart 4">
          <a:extLst>
            <a:ext uri="{FF2B5EF4-FFF2-40B4-BE49-F238E27FC236}">
              <a16:creationId xmlns:a16="http://schemas.microsoft.com/office/drawing/2014/main" id="{4FF4405F-651C-458D-B540-672142FD3B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18</xdr:col>
      <xdr:colOff>0</xdr:colOff>
      <xdr:row>33</xdr:row>
      <xdr:rowOff>0</xdr:rowOff>
    </xdr:from>
    <xdr:to>
      <xdr:col>27</xdr:col>
      <xdr:colOff>621030</xdr:colOff>
      <xdr:row>46</xdr:row>
      <xdr:rowOff>115759</xdr:rowOff>
    </xdr:to>
    <xdr:graphicFrame macro="">
      <xdr:nvGraphicFramePr>
        <xdr:cNvPr id="8" name="Chart 2">
          <a:extLst>
            <a:ext uri="{FF2B5EF4-FFF2-40B4-BE49-F238E27FC236}">
              <a16:creationId xmlns:a16="http://schemas.microsoft.com/office/drawing/2014/main" id="{3931A665-69F5-4F80-AD91-46D48FB1A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0</xdr:colOff>
      <xdr:row>50</xdr:row>
      <xdr:rowOff>0</xdr:rowOff>
    </xdr:from>
    <xdr:to>
      <xdr:col>27</xdr:col>
      <xdr:colOff>624279</xdr:colOff>
      <xdr:row>63</xdr:row>
      <xdr:rowOff>115758</xdr:rowOff>
    </xdr:to>
    <xdr:graphicFrame macro="">
      <xdr:nvGraphicFramePr>
        <xdr:cNvPr id="9" name="Chart 3">
          <a:extLst>
            <a:ext uri="{FF2B5EF4-FFF2-40B4-BE49-F238E27FC236}">
              <a16:creationId xmlns:a16="http://schemas.microsoft.com/office/drawing/2014/main" id="{5C19FDB7-74F7-4BC5-BD74-D55EAAB15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9525</xdr:colOff>
      <xdr:row>70</xdr:row>
      <xdr:rowOff>15238</xdr:rowOff>
    </xdr:from>
    <xdr:to>
      <xdr:col>17</xdr:col>
      <xdr:colOff>8964</xdr:colOff>
      <xdr:row>83</xdr:row>
      <xdr:rowOff>130997</xdr:rowOff>
    </xdr:to>
    <xdr:graphicFrame macro="">
      <xdr:nvGraphicFramePr>
        <xdr:cNvPr id="10" name="Chart 9">
          <a:extLst>
            <a:ext uri="{FF2B5EF4-FFF2-40B4-BE49-F238E27FC236}">
              <a16:creationId xmlns:a16="http://schemas.microsoft.com/office/drawing/2014/main" id="{115ABF3E-FF54-4252-AC77-B6EA9BEE9D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18</xdr:col>
      <xdr:colOff>0</xdr:colOff>
      <xdr:row>70</xdr:row>
      <xdr:rowOff>0</xdr:rowOff>
    </xdr:from>
    <xdr:to>
      <xdr:col>27</xdr:col>
      <xdr:colOff>624279</xdr:colOff>
      <xdr:row>83</xdr:row>
      <xdr:rowOff>115759</xdr:rowOff>
    </xdr:to>
    <xdr:graphicFrame macro="">
      <xdr:nvGraphicFramePr>
        <xdr:cNvPr id="11" name="Chart 3">
          <a:extLst>
            <a:ext uri="{FF2B5EF4-FFF2-40B4-BE49-F238E27FC236}">
              <a16:creationId xmlns:a16="http://schemas.microsoft.com/office/drawing/2014/main" id="{29B82AC3-8866-41F2-A42E-0D22ED03FB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xdr:colOff>
      <xdr:row>42</xdr:row>
      <xdr:rowOff>22860</xdr:rowOff>
    </xdr:from>
    <xdr:to>
      <xdr:col>0</xdr:col>
      <xdr:colOff>1021080</xdr:colOff>
      <xdr:row>45</xdr:row>
      <xdr:rowOff>167640</xdr:rowOff>
    </xdr:to>
    <xdr:pic>
      <xdr:nvPicPr>
        <xdr:cNvPr id="37411" name="Picture 3" descr="http://www.maizetrust.co.za/images/masthead.jpg">
          <a:extLst>
            <a:ext uri="{FF2B5EF4-FFF2-40B4-BE49-F238E27FC236}">
              <a16:creationId xmlns:a16="http://schemas.microsoft.com/office/drawing/2014/main" id="{25FDBD05-7C27-2508-5347-9B6FF9D2C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7932420"/>
          <a:ext cx="99822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638735</xdr:colOff>
      <xdr:row>0</xdr:row>
      <xdr:rowOff>0</xdr:rowOff>
    </xdr:from>
    <xdr:to>
      <xdr:col>9</xdr:col>
      <xdr:colOff>3362</xdr:colOff>
      <xdr:row>2</xdr:row>
      <xdr:rowOff>340883</xdr:rowOff>
    </xdr:to>
    <xdr:pic>
      <xdr:nvPicPr>
        <xdr:cNvPr id="2" name="Picture 1" descr="GrainSA - YouTube">
          <a:extLst>
            <a:ext uri="{FF2B5EF4-FFF2-40B4-BE49-F238E27FC236}">
              <a16:creationId xmlns:a16="http://schemas.microsoft.com/office/drawing/2014/main" id="{9FD51661-E171-400A-8D5A-3452690C29A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35353" y="0"/>
          <a:ext cx="1058955" cy="9319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60960</xdr:colOff>
      <xdr:row>70</xdr:row>
      <xdr:rowOff>160020</xdr:rowOff>
    </xdr:from>
    <xdr:to>
      <xdr:col>8</xdr:col>
      <xdr:colOff>891540</xdr:colOff>
      <xdr:row>77</xdr:row>
      <xdr:rowOff>30480</xdr:rowOff>
    </xdr:to>
    <xdr:pic>
      <xdr:nvPicPr>
        <xdr:cNvPr id="38573" name="Picture 5" descr="Graan SA - nuwe logo.jpg">
          <a:extLst>
            <a:ext uri="{FF2B5EF4-FFF2-40B4-BE49-F238E27FC236}">
              <a16:creationId xmlns:a16="http://schemas.microsoft.com/office/drawing/2014/main" id="{FDD6A106-B761-5ED0-568C-AFECEC1937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61420" y="13335000"/>
          <a:ext cx="83058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42</xdr:row>
      <xdr:rowOff>32385</xdr:rowOff>
    </xdr:from>
    <xdr:to>
      <xdr:col>0</xdr:col>
      <xdr:colOff>998220</xdr:colOff>
      <xdr:row>45</xdr:row>
      <xdr:rowOff>186690</xdr:rowOff>
    </xdr:to>
    <xdr:pic>
      <xdr:nvPicPr>
        <xdr:cNvPr id="38574" name="Picture 6" descr="http://www.maizetrust.co.za/images/masthead.jpg">
          <a:extLst>
            <a:ext uri="{FF2B5EF4-FFF2-40B4-BE49-F238E27FC236}">
              <a16:creationId xmlns:a16="http://schemas.microsoft.com/office/drawing/2014/main" id="{072AD07E-B200-1F42-2F82-5E6DBE9D71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852535"/>
          <a:ext cx="998220" cy="697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979715</xdr:colOff>
      <xdr:row>0</xdr:row>
      <xdr:rowOff>9525</xdr:rowOff>
    </xdr:from>
    <xdr:to>
      <xdr:col>14</xdr:col>
      <xdr:colOff>95250</xdr:colOff>
      <xdr:row>2</xdr:row>
      <xdr:rowOff>289464</xdr:rowOff>
    </xdr:to>
    <xdr:pic>
      <xdr:nvPicPr>
        <xdr:cNvPr id="2" name="Picture 1" descr="GrainSA - YouTube">
          <a:extLst>
            <a:ext uri="{FF2B5EF4-FFF2-40B4-BE49-F238E27FC236}">
              <a16:creationId xmlns:a16="http://schemas.microsoft.com/office/drawing/2014/main" id="{A94A3163-C93E-4E72-93D4-0839C107D19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314215" y="9525"/>
          <a:ext cx="1087210" cy="927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22860</xdr:colOff>
      <xdr:row>42</xdr:row>
      <xdr:rowOff>22860</xdr:rowOff>
    </xdr:from>
    <xdr:to>
      <xdr:col>0</xdr:col>
      <xdr:colOff>1021080</xdr:colOff>
      <xdr:row>45</xdr:row>
      <xdr:rowOff>167640</xdr:rowOff>
    </xdr:to>
    <xdr:pic>
      <xdr:nvPicPr>
        <xdr:cNvPr id="156098" name="Picture 3" descr="http://www.maizetrust.co.za/images/masthead.jpg">
          <a:extLst>
            <a:ext uri="{FF2B5EF4-FFF2-40B4-BE49-F238E27FC236}">
              <a16:creationId xmlns:a16="http://schemas.microsoft.com/office/drawing/2014/main" id="{E545F91B-E289-F7B7-6A12-41752D803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8092440"/>
          <a:ext cx="99822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22860</xdr:colOff>
      <xdr:row>42</xdr:row>
      <xdr:rowOff>22860</xdr:rowOff>
    </xdr:from>
    <xdr:to>
      <xdr:col>0</xdr:col>
      <xdr:colOff>1021080</xdr:colOff>
      <xdr:row>45</xdr:row>
      <xdr:rowOff>167640</xdr:rowOff>
    </xdr:to>
    <xdr:pic>
      <xdr:nvPicPr>
        <xdr:cNvPr id="156099" name="Picture 4" descr="http://www.maizetrust.co.za/images/masthead.jpg">
          <a:extLst>
            <a:ext uri="{FF2B5EF4-FFF2-40B4-BE49-F238E27FC236}">
              <a16:creationId xmlns:a16="http://schemas.microsoft.com/office/drawing/2014/main" id="{3296DD2C-9A08-255D-6110-F1C2ABF72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8092440"/>
          <a:ext cx="99822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888206</xdr:colOff>
      <xdr:row>0</xdr:row>
      <xdr:rowOff>57150</xdr:rowOff>
    </xdr:from>
    <xdr:to>
      <xdr:col>8</xdr:col>
      <xdr:colOff>951799</xdr:colOff>
      <xdr:row>3</xdr:row>
      <xdr:rowOff>7115</xdr:rowOff>
    </xdr:to>
    <xdr:pic>
      <xdr:nvPicPr>
        <xdr:cNvPr id="2" name="Picture 1" descr="GrainSA - YouTube">
          <a:extLst>
            <a:ext uri="{FF2B5EF4-FFF2-40B4-BE49-F238E27FC236}">
              <a16:creationId xmlns:a16="http://schemas.microsoft.com/office/drawing/2014/main" id="{658619FB-B315-42E3-B1C7-790EF3070D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251281" y="57150"/>
          <a:ext cx="1063718" cy="9215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259080</xdr:colOff>
      <xdr:row>95</xdr:row>
      <xdr:rowOff>99060</xdr:rowOff>
    </xdr:from>
    <xdr:to>
      <xdr:col>7</xdr:col>
      <xdr:colOff>739140</xdr:colOff>
      <xdr:row>98</xdr:row>
      <xdr:rowOff>162486</xdr:rowOff>
    </xdr:to>
    <xdr:pic>
      <xdr:nvPicPr>
        <xdr:cNvPr id="51678" name="Picture 3" descr="Graan SA - nuwe logo.jpg">
          <a:extLst>
            <a:ext uri="{FF2B5EF4-FFF2-40B4-BE49-F238E27FC236}">
              <a16:creationId xmlns:a16="http://schemas.microsoft.com/office/drawing/2014/main" id="{E9C2809A-382F-1407-620D-9E8D1B7145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81160" y="16581120"/>
          <a:ext cx="48768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943535</xdr:colOff>
      <xdr:row>0</xdr:row>
      <xdr:rowOff>0</xdr:rowOff>
    </xdr:from>
    <xdr:to>
      <xdr:col>9</xdr:col>
      <xdr:colOff>1679</xdr:colOff>
      <xdr:row>2</xdr:row>
      <xdr:rowOff>342004</xdr:rowOff>
    </xdr:to>
    <xdr:pic>
      <xdr:nvPicPr>
        <xdr:cNvPr id="2" name="Picture 1" descr="GrainSA - YouTube">
          <a:extLst>
            <a:ext uri="{FF2B5EF4-FFF2-40B4-BE49-F238E27FC236}">
              <a16:creationId xmlns:a16="http://schemas.microsoft.com/office/drawing/2014/main" id="{E88430E6-1734-4268-A795-7A21B68FF99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79959" y="0"/>
          <a:ext cx="1030379" cy="9235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43</xdr:row>
      <xdr:rowOff>8965</xdr:rowOff>
    </xdr:from>
    <xdr:to>
      <xdr:col>0</xdr:col>
      <xdr:colOff>998220</xdr:colOff>
      <xdr:row>47</xdr:row>
      <xdr:rowOff>15353</xdr:rowOff>
    </xdr:to>
    <xdr:pic>
      <xdr:nvPicPr>
        <xdr:cNvPr id="3" name="Picture 4" descr="http://www.maizetrust.co.za/images/masthead.jpg">
          <a:extLst>
            <a:ext uri="{FF2B5EF4-FFF2-40B4-BE49-F238E27FC236}">
              <a16:creationId xmlns:a16="http://schemas.microsoft.com/office/drawing/2014/main" id="{58F0E1CE-C979-4CE4-9738-5D1DA887EE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727577"/>
          <a:ext cx="998220" cy="6966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64993</xdr:colOff>
      <xdr:row>0</xdr:row>
      <xdr:rowOff>44824</xdr:rowOff>
    </xdr:from>
    <xdr:to>
      <xdr:col>9</xdr:col>
      <xdr:colOff>133909</xdr:colOff>
      <xdr:row>3</xdr:row>
      <xdr:rowOff>77770</xdr:rowOff>
    </xdr:to>
    <xdr:pic>
      <xdr:nvPicPr>
        <xdr:cNvPr id="2" name="Picture 1" descr="GrainSA - YouTube">
          <a:extLst>
            <a:ext uri="{FF2B5EF4-FFF2-40B4-BE49-F238E27FC236}">
              <a16:creationId xmlns:a16="http://schemas.microsoft.com/office/drawing/2014/main" id="{CB6B51F1-76EE-4782-9C21-A8D74E5F71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299" y="44824"/>
          <a:ext cx="1067809" cy="946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xdr:colOff>
      <xdr:row>42</xdr:row>
      <xdr:rowOff>22860</xdr:rowOff>
    </xdr:from>
    <xdr:to>
      <xdr:col>0</xdr:col>
      <xdr:colOff>1021080</xdr:colOff>
      <xdr:row>45</xdr:row>
      <xdr:rowOff>167640</xdr:rowOff>
    </xdr:to>
    <xdr:pic>
      <xdr:nvPicPr>
        <xdr:cNvPr id="3" name="Picture 3" descr="http://www.maizetrust.co.za/images/masthead.jpg">
          <a:extLst>
            <a:ext uri="{FF2B5EF4-FFF2-40B4-BE49-F238E27FC236}">
              <a16:creationId xmlns:a16="http://schemas.microsoft.com/office/drawing/2014/main" id="{11733E71-C6C2-4D1B-B53F-DF480DEC9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 y="8412480"/>
          <a:ext cx="99822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22860</xdr:colOff>
      <xdr:row>42</xdr:row>
      <xdr:rowOff>22860</xdr:rowOff>
    </xdr:from>
    <xdr:to>
      <xdr:col>0</xdr:col>
      <xdr:colOff>1021080</xdr:colOff>
      <xdr:row>45</xdr:row>
      <xdr:rowOff>167640</xdr:rowOff>
    </xdr:to>
    <xdr:pic>
      <xdr:nvPicPr>
        <xdr:cNvPr id="4" name="Picture 4" descr="http://www.maizetrust.co.za/images/masthead.jpg">
          <a:extLst>
            <a:ext uri="{FF2B5EF4-FFF2-40B4-BE49-F238E27FC236}">
              <a16:creationId xmlns:a16="http://schemas.microsoft.com/office/drawing/2014/main" id="{BFDEF4CF-9C74-40B2-B406-B92C9D30A2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 y="8412480"/>
          <a:ext cx="99822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56254</xdr:colOff>
      <xdr:row>2</xdr:row>
      <xdr:rowOff>344805</xdr:rowOff>
    </xdr:to>
    <xdr:pic>
      <xdr:nvPicPr>
        <xdr:cNvPr id="2" name="Picture 1" descr="GrainSA - YouTube">
          <a:extLst>
            <a:ext uri="{FF2B5EF4-FFF2-40B4-BE49-F238E27FC236}">
              <a16:creationId xmlns:a16="http://schemas.microsoft.com/office/drawing/2014/main" id="{3AA6EB5D-E99A-48C4-86E2-CDA02DE2C9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6999" y="0"/>
          <a:ext cx="1058955" cy="937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xdr:colOff>
      <xdr:row>50</xdr:row>
      <xdr:rowOff>22860</xdr:rowOff>
    </xdr:from>
    <xdr:to>
      <xdr:col>0</xdr:col>
      <xdr:colOff>1021080</xdr:colOff>
      <xdr:row>53</xdr:row>
      <xdr:rowOff>167640</xdr:rowOff>
    </xdr:to>
    <xdr:pic>
      <xdr:nvPicPr>
        <xdr:cNvPr id="3" name="Picture 3" descr="http://www.maizetrust.co.za/images/masthead.jpg">
          <a:extLst>
            <a:ext uri="{FF2B5EF4-FFF2-40B4-BE49-F238E27FC236}">
              <a16:creationId xmlns:a16="http://schemas.microsoft.com/office/drawing/2014/main" id="{8AE3D550-CD22-4444-8A22-FAD122F71B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 y="8412480"/>
          <a:ext cx="99822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22860</xdr:colOff>
      <xdr:row>50</xdr:row>
      <xdr:rowOff>22860</xdr:rowOff>
    </xdr:from>
    <xdr:to>
      <xdr:col>0</xdr:col>
      <xdr:colOff>1021080</xdr:colOff>
      <xdr:row>53</xdr:row>
      <xdr:rowOff>167640</xdr:rowOff>
    </xdr:to>
    <xdr:pic>
      <xdr:nvPicPr>
        <xdr:cNvPr id="4" name="Picture 4" descr="http://www.maizetrust.co.za/images/masthead.jpg">
          <a:extLst>
            <a:ext uri="{FF2B5EF4-FFF2-40B4-BE49-F238E27FC236}">
              <a16:creationId xmlns:a16="http://schemas.microsoft.com/office/drawing/2014/main" id="{644F1BE2-09A6-4443-8AC5-B0A4EBAB96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 y="8412480"/>
          <a:ext cx="99822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91440</xdr:colOff>
      <xdr:row>82</xdr:row>
      <xdr:rowOff>160020</xdr:rowOff>
    </xdr:from>
    <xdr:to>
      <xdr:col>8</xdr:col>
      <xdr:colOff>914400</xdr:colOff>
      <xdr:row>88</xdr:row>
      <xdr:rowOff>127908</xdr:rowOff>
    </xdr:to>
    <xdr:pic>
      <xdr:nvPicPr>
        <xdr:cNvPr id="179352" name="Picture 3" descr="Graan SA - nuwe logo.jpg">
          <a:extLst>
            <a:ext uri="{FF2B5EF4-FFF2-40B4-BE49-F238E27FC236}">
              <a16:creationId xmlns:a16="http://schemas.microsoft.com/office/drawing/2014/main" id="{08ADCA9D-777D-464E-09CE-2B063F2D80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91900" y="14630400"/>
          <a:ext cx="82296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13446</xdr:colOff>
      <xdr:row>0</xdr:row>
      <xdr:rowOff>0</xdr:rowOff>
    </xdr:from>
    <xdr:to>
      <xdr:col>9</xdr:col>
      <xdr:colOff>96370</xdr:colOff>
      <xdr:row>3</xdr:row>
      <xdr:rowOff>11110</xdr:rowOff>
    </xdr:to>
    <xdr:pic>
      <xdr:nvPicPr>
        <xdr:cNvPr id="3" name="Picture 2" descr="GrainSA - YouTube">
          <a:extLst>
            <a:ext uri="{FF2B5EF4-FFF2-40B4-BE49-F238E27FC236}">
              <a16:creationId xmlns:a16="http://schemas.microsoft.com/office/drawing/2014/main" id="{0B2706C1-5C2A-4BB4-B936-0B1C9A9EA96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9752" y="0"/>
          <a:ext cx="1066576" cy="932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xdr:colOff>
      <xdr:row>42</xdr:row>
      <xdr:rowOff>22860</xdr:rowOff>
    </xdr:from>
    <xdr:to>
      <xdr:col>0</xdr:col>
      <xdr:colOff>1021080</xdr:colOff>
      <xdr:row>45</xdr:row>
      <xdr:rowOff>167640</xdr:rowOff>
    </xdr:to>
    <xdr:pic>
      <xdr:nvPicPr>
        <xdr:cNvPr id="2" name="Picture 3" descr="http://www.maizetrust.co.za/images/masthead.jpg">
          <a:extLst>
            <a:ext uri="{FF2B5EF4-FFF2-40B4-BE49-F238E27FC236}">
              <a16:creationId xmlns:a16="http://schemas.microsoft.com/office/drawing/2014/main" id="{644C69DF-3B57-4B00-89AD-4D68AFD86E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 y="9730740"/>
          <a:ext cx="99822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22860</xdr:colOff>
      <xdr:row>42</xdr:row>
      <xdr:rowOff>22860</xdr:rowOff>
    </xdr:from>
    <xdr:to>
      <xdr:col>0</xdr:col>
      <xdr:colOff>1021080</xdr:colOff>
      <xdr:row>45</xdr:row>
      <xdr:rowOff>167640</xdr:rowOff>
    </xdr:to>
    <xdr:pic>
      <xdr:nvPicPr>
        <xdr:cNvPr id="4" name="Picture 4" descr="http://www.maizetrust.co.za/images/masthead.jpg">
          <a:extLst>
            <a:ext uri="{FF2B5EF4-FFF2-40B4-BE49-F238E27FC236}">
              <a16:creationId xmlns:a16="http://schemas.microsoft.com/office/drawing/2014/main" id="{FC12D980-076F-4ACA-919C-E428AE0F93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 y="9730740"/>
          <a:ext cx="99822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37</xdr:row>
      <xdr:rowOff>0</xdr:rowOff>
    </xdr:from>
    <xdr:to>
      <xdr:col>8</xdr:col>
      <xdr:colOff>32658</xdr:colOff>
      <xdr:row>55</xdr:row>
      <xdr:rowOff>130628</xdr:rowOff>
    </xdr:to>
    <xdr:graphicFrame macro="">
      <xdr:nvGraphicFramePr>
        <xdr:cNvPr id="182304" name="Chart 1">
          <a:extLst>
            <a:ext uri="{FF2B5EF4-FFF2-40B4-BE49-F238E27FC236}">
              <a16:creationId xmlns:a16="http://schemas.microsoft.com/office/drawing/2014/main" id="{98C51A40-9009-D255-5ABB-533AB42DA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1110325</xdr:colOff>
      <xdr:row>0</xdr:row>
      <xdr:rowOff>358907</xdr:rowOff>
    </xdr:from>
    <xdr:to>
      <xdr:col>9</xdr:col>
      <xdr:colOff>246479</xdr:colOff>
      <xdr:row>5</xdr:row>
      <xdr:rowOff>174394</xdr:rowOff>
    </xdr:to>
    <xdr:pic>
      <xdr:nvPicPr>
        <xdr:cNvPr id="2" name="Picture 1" descr="GrainSA - YouTube">
          <a:extLst>
            <a:ext uri="{FF2B5EF4-FFF2-40B4-BE49-F238E27FC236}">
              <a16:creationId xmlns:a16="http://schemas.microsoft.com/office/drawing/2014/main" id="{7C99D3BB-88A9-466E-A608-C3284F97D4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213754" y="358907"/>
          <a:ext cx="1095582" cy="925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aadcprd01\gsadata\Bedryfsbediening\Produksie\Produksie%20Begroting\Somer%20gewas%20streke\Somer%20begrotings\2017-18\GSA-17-18%20Noordwes%20begroting%20North%20West%20budg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petru\AppData\Local\Microsoft\Windows\Temporary%20Internet%20Files\Content.Outlook\OCSLA1IY\GSA-18-19%20Noordwes%20model.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petru/AppData/Local/Microsoft/Windows/Temporary%20Internet%20Files/Content.Outlook/OCSLA1IY/GSA-16-17%20Noordwes%20begroting%20North%20West%20budget.xls" TargetMode="External"/><Relationship Id="rId1" Type="http://schemas.openxmlformats.org/officeDocument/2006/relationships/externalLinkPath" Target="/Users/petru/AppData/Local/Microsoft/Windows/Temporary%20Internet%20Files/Content.Outlook/OCSLA1IY/GSA-16-17%20Noordwes%20begroting%20North%20West%20budg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yse + Sensatiwiteitsanalise"/>
      <sheetName val="W-Mielie "/>
      <sheetName val="W-BT Mielies"/>
      <sheetName val="W-Roundup R mielies "/>
      <sheetName val="Stapelgeen Mielie"/>
      <sheetName val="Sonneblom"/>
      <sheetName val="Sojabone"/>
      <sheetName val="Graansorghum"/>
      <sheetName val="Grondbone"/>
      <sheetName val="Bes-mielie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edprices"/>
      <sheetName val="Price sheet "/>
      <sheetName val="Crops planted"/>
      <sheetName val="Inventarus "/>
      <sheetName val="Laste"/>
      <sheetName val="vaste koste"/>
      <sheetName val="W-Mielie "/>
      <sheetName val="W-BT Mielies"/>
      <sheetName val="Sonneblom"/>
      <sheetName val="Sojabone"/>
      <sheetName val="Graansorghum"/>
      <sheetName val="Grondbone"/>
      <sheetName val="Oorlê"/>
      <sheetName val="Bes-mielies"/>
      <sheetName val="Crop Comparison"/>
      <sheetName val="Rent calculations"/>
      <sheetName val="Pryse + Sensatiwiteitsanalise"/>
      <sheetName val="Strategie"/>
      <sheetName val="sheet"/>
      <sheetName val="shee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yse + Sensatiwiteitsanalise"/>
      <sheetName val="W-Mielie "/>
      <sheetName val="W-BT Mielies"/>
      <sheetName val="W-Roundup R mielies "/>
      <sheetName val="Stapelgeen Mielie"/>
      <sheetName val="Sonneblom"/>
      <sheetName val="Sojabone"/>
      <sheetName val="Graansorghum"/>
      <sheetName val="Grondbone"/>
      <sheetName val="Bes-mielies"/>
    </sheetNames>
    <sheetDataSet>
      <sheetData sheetId="0"/>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A6473C-290B-46B7-9C25-D99F7111B31B}" name="Table1" displayName="Table1" ref="A1:H34" totalsRowShown="0" headerRowDxfId="1" dataDxfId="0" tableBorderDxfId="58">
  <autoFilter ref="A1:H34" xr:uid="{E0A6473C-290B-46B7-9C25-D99F7111B31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637562E-061A-4C6D-967E-831F876890FA}" name="NORTH WEST FREE STATE INCOME &amp; COST BUDGETS - SUMMER CROPS 2026/27 " dataDxfId="9"/>
    <tableColumn id="2" xr3:uid="{78B09541-E8A3-4D87-84C5-4E4EA494FF90}" name="Column1" dataDxfId="8"/>
    <tableColumn id="3" xr3:uid="{BF817011-E682-49AF-B11B-4693F15FF4E6}" name="Column2" dataDxfId="7"/>
    <tableColumn id="4" xr3:uid="{B427427A-9045-47AC-9B75-3CD4F52955E3}" name="Column3" dataDxfId="6"/>
    <tableColumn id="5" xr3:uid="{518F4B09-308E-437A-BAFD-DC2A1199B17A}" name="Column4" dataDxfId="5"/>
    <tableColumn id="6" xr3:uid="{0714900D-07E6-4E26-997A-C20C681A351E}" name="Column5" dataDxfId="4"/>
    <tableColumn id="7" xr3:uid="{E6B8CF4E-4B84-4C68-8813-3677F0D24985}" name="Column6" dataDxfId="3"/>
    <tableColumn id="8" xr3:uid="{B8156C7A-FBE3-4C0B-9168-E33D5626F00B}" name="Column7" dataDxfId="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2"/>
  <sheetViews>
    <sheetView zoomScale="70" zoomScaleNormal="70" workbookViewId="0">
      <selection activeCell="A91" sqref="A91"/>
    </sheetView>
  </sheetViews>
  <sheetFormatPr defaultColWidth="9.109375" defaultRowHeight="13.2" x14ac:dyDescent="0.25"/>
  <cols>
    <col min="1" max="1" width="52.44140625" style="28" customWidth="1"/>
    <col min="2" max="2" width="19.109375" style="28" bestFit="1" customWidth="1"/>
    <col min="3" max="3" width="13.109375" style="28" customWidth="1"/>
    <col min="4" max="4" width="23.6640625" style="1" customWidth="1"/>
    <col min="5" max="12" width="10.6640625" style="1" customWidth="1"/>
    <col min="13" max="15" width="9.109375" style="1"/>
    <col min="16" max="16" width="22.6640625" style="1" customWidth="1"/>
    <col min="17" max="17" width="11.6640625" style="1" customWidth="1"/>
    <col min="18" max="26" width="9.44140625" style="1" customWidth="1"/>
    <col min="27" max="16384" width="9.109375" style="1"/>
  </cols>
  <sheetData>
    <row r="1" spans="1:14" s="29" customFormat="1" ht="28.5" customHeight="1" x14ac:dyDescent="0.4">
      <c r="A1" s="32" t="s">
        <v>0</v>
      </c>
      <c r="B1" s="33" t="s">
        <v>1</v>
      </c>
      <c r="C1" s="28"/>
      <c r="D1" s="28"/>
      <c r="E1" s="28"/>
      <c r="F1" s="28"/>
      <c r="G1" s="28"/>
      <c r="H1" s="28"/>
      <c r="I1" s="28"/>
      <c r="J1" s="28"/>
      <c r="K1" s="28"/>
      <c r="L1" s="28"/>
      <c r="M1" s="28"/>
      <c r="N1" s="28"/>
    </row>
    <row r="2" spans="1:14" s="29" customFormat="1" ht="13.5" customHeight="1" x14ac:dyDescent="0.3">
      <c r="A2" s="34" t="s">
        <v>2</v>
      </c>
      <c r="B2" s="35">
        <v>46238</v>
      </c>
      <c r="C2" s="28"/>
      <c r="D2" s="28"/>
      <c r="E2" s="28"/>
      <c r="F2" s="28"/>
      <c r="G2" s="28"/>
      <c r="H2" s="28"/>
      <c r="I2" s="28"/>
      <c r="J2" s="28"/>
      <c r="K2" s="28"/>
      <c r="L2" s="28"/>
      <c r="M2" s="28"/>
      <c r="N2" s="28"/>
    </row>
    <row r="3" spans="1:14" s="29" customFormat="1" ht="27.75" customHeight="1" x14ac:dyDescent="0.3">
      <c r="A3" s="51" t="s">
        <v>3</v>
      </c>
      <c r="B3" s="52" t="s">
        <v>4</v>
      </c>
      <c r="C3" s="28"/>
      <c r="D3" s="53" t="s">
        <v>5</v>
      </c>
      <c r="E3" s="28"/>
      <c r="F3" s="28"/>
      <c r="G3" s="28"/>
      <c r="H3" s="28"/>
      <c r="I3" s="28"/>
      <c r="J3" s="28"/>
      <c r="K3" s="28"/>
      <c r="L3" s="28"/>
    </row>
    <row r="4" spans="1:14" s="29" customFormat="1" ht="13.5" customHeight="1" x14ac:dyDescent="0.3">
      <c r="A4" s="39" t="s">
        <v>6</v>
      </c>
      <c r="B4" s="36">
        <v>3800</v>
      </c>
      <c r="C4" s="37"/>
      <c r="D4" s="38">
        <v>408.16</v>
      </c>
      <c r="E4" s="28"/>
      <c r="F4" s="28"/>
      <c r="G4" s="28"/>
      <c r="H4" s="28"/>
      <c r="I4" s="28"/>
      <c r="J4" s="28"/>
      <c r="K4" s="28"/>
      <c r="L4" s="28"/>
    </row>
    <row r="5" spans="1:14" s="29" customFormat="1" ht="13.5" customHeight="1" x14ac:dyDescent="0.3">
      <c r="A5" s="39" t="s">
        <v>7</v>
      </c>
      <c r="B5" s="36">
        <v>10000</v>
      </c>
      <c r="C5" s="37"/>
      <c r="D5" s="38">
        <v>473.27</v>
      </c>
      <c r="E5" s="28"/>
      <c r="F5" s="28"/>
      <c r="G5" s="28"/>
      <c r="H5" s="28"/>
      <c r="I5" s="28"/>
      <c r="J5" s="28"/>
      <c r="K5" s="28"/>
      <c r="L5" s="28"/>
      <c r="M5" s="28"/>
      <c r="N5" s="28"/>
    </row>
    <row r="6" spans="1:14" s="29" customFormat="1" ht="13.5" customHeight="1" x14ac:dyDescent="0.3">
      <c r="A6" s="39" t="s">
        <v>8</v>
      </c>
      <c r="B6" s="36">
        <v>7900</v>
      </c>
      <c r="C6" s="37"/>
      <c r="D6" s="38">
        <v>209.49</v>
      </c>
      <c r="E6" s="28"/>
      <c r="F6" s="28"/>
      <c r="G6" s="28"/>
      <c r="H6" s="28"/>
      <c r="I6" s="28"/>
      <c r="J6" s="28"/>
      <c r="K6" s="28"/>
      <c r="L6" s="28"/>
      <c r="M6" s="28"/>
      <c r="N6" s="28"/>
    </row>
    <row r="7" spans="1:14" s="29" customFormat="1" ht="13.5" customHeight="1" x14ac:dyDescent="0.3">
      <c r="A7" s="39" t="s">
        <v>9</v>
      </c>
      <c r="B7" s="36">
        <v>3500</v>
      </c>
      <c r="C7" s="37"/>
      <c r="D7" s="38">
        <v>132</v>
      </c>
      <c r="E7" s="28"/>
      <c r="F7" s="28"/>
      <c r="G7" s="28"/>
      <c r="H7" s="28"/>
      <c r="I7" s="28"/>
      <c r="J7" s="28"/>
      <c r="K7" s="28"/>
      <c r="L7" s="28"/>
      <c r="M7" s="28"/>
      <c r="N7" s="28"/>
    </row>
    <row r="8" spans="1:14" s="29" customFormat="1" ht="13.5" customHeight="1" x14ac:dyDescent="0.3">
      <c r="A8" s="39" t="s">
        <v>10</v>
      </c>
      <c r="B8" s="36">
        <v>21767</v>
      </c>
      <c r="C8" s="37"/>
      <c r="D8" s="38">
        <v>63</v>
      </c>
      <c r="E8" s="28"/>
      <c r="F8" s="28"/>
      <c r="G8" s="28"/>
      <c r="H8" s="28"/>
      <c r="I8" s="28"/>
      <c r="J8" s="28"/>
      <c r="K8" s="28"/>
      <c r="L8" s="28"/>
      <c r="M8" s="28"/>
      <c r="N8" s="28"/>
    </row>
    <row r="9" spans="1:14" s="29" customFormat="1" ht="13.5" customHeight="1" x14ac:dyDescent="0.3">
      <c r="A9" s="39" t="s">
        <v>11</v>
      </c>
      <c r="B9" s="36">
        <v>18150</v>
      </c>
      <c r="C9" s="37"/>
      <c r="D9" s="38"/>
      <c r="E9" s="28"/>
      <c r="F9" s="28"/>
      <c r="G9" s="28"/>
      <c r="H9" s="28"/>
      <c r="I9" s="28"/>
      <c r="J9" s="28"/>
      <c r="K9" s="28"/>
      <c r="L9" s="28"/>
      <c r="M9" s="28"/>
      <c r="N9" s="28"/>
    </row>
    <row r="10" spans="1:14" s="29" customFormat="1" ht="13.5" customHeight="1" x14ac:dyDescent="0.3">
      <c r="A10" s="39" t="s">
        <v>12</v>
      </c>
      <c r="B10" s="36">
        <v>16083</v>
      </c>
      <c r="C10" s="37"/>
      <c r="D10" s="38"/>
      <c r="E10" s="28"/>
      <c r="F10" s="28"/>
      <c r="G10" s="28"/>
      <c r="H10" s="28"/>
      <c r="I10" s="28"/>
      <c r="J10" s="28"/>
      <c r="K10" s="28"/>
      <c r="L10" s="28"/>
      <c r="M10" s="28"/>
      <c r="N10" s="28"/>
    </row>
    <row r="11" spans="1:14" s="29" customFormat="1" ht="13.5" customHeight="1" x14ac:dyDescent="0.3">
      <c r="A11" s="39" t="s">
        <v>13</v>
      </c>
      <c r="B11" s="36">
        <v>5467</v>
      </c>
      <c r="C11" s="37"/>
      <c r="D11" s="38"/>
      <c r="E11" s="28"/>
      <c r="F11" s="28"/>
      <c r="G11" s="28"/>
      <c r="H11" s="28"/>
      <c r="I11" s="28"/>
      <c r="J11" s="28"/>
      <c r="K11" s="28"/>
      <c r="L11" s="28"/>
      <c r="M11" s="28"/>
      <c r="N11" s="28"/>
    </row>
    <row r="12" spans="1:14" s="29" customFormat="1" ht="13.5" customHeight="1" x14ac:dyDescent="0.3">
      <c r="A12" s="39" t="s">
        <v>14</v>
      </c>
      <c r="B12" s="36">
        <v>3517</v>
      </c>
      <c r="C12" s="37"/>
      <c r="D12" s="38"/>
      <c r="E12" s="28"/>
      <c r="F12" s="28"/>
      <c r="G12" s="28"/>
      <c r="H12" s="28"/>
      <c r="I12" s="28"/>
      <c r="J12" s="28"/>
      <c r="K12" s="28"/>
      <c r="L12" s="28"/>
      <c r="M12" s="28"/>
      <c r="N12" s="28"/>
    </row>
    <row r="13" spans="1:14" s="29" customFormat="1" ht="13.5" customHeight="1" x14ac:dyDescent="0.3">
      <c r="A13" s="39" t="s">
        <v>15</v>
      </c>
      <c r="B13" s="36"/>
      <c r="C13" s="37"/>
      <c r="D13" s="37"/>
      <c r="E13" s="28"/>
      <c r="F13" s="28"/>
      <c r="G13" s="28"/>
      <c r="H13" s="28"/>
      <c r="I13" s="28"/>
      <c r="J13" s="28"/>
      <c r="K13" s="28"/>
      <c r="L13" s="28"/>
      <c r="M13" s="28"/>
      <c r="N13" s="28"/>
    </row>
    <row r="14" spans="1:14" s="29" customFormat="1" ht="13.5" customHeight="1" x14ac:dyDescent="0.3">
      <c r="A14" s="30"/>
      <c r="B14" s="31"/>
      <c r="C14" s="28"/>
      <c r="D14" s="28"/>
      <c r="E14" s="28"/>
      <c r="F14" s="28"/>
      <c r="G14" s="28"/>
      <c r="H14" s="28"/>
      <c r="I14" s="28"/>
      <c r="J14" s="28"/>
      <c r="K14" s="28"/>
      <c r="L14" s="28"/>
      <c r="M14" s="28"/>
      <c r="N14" s="28"/>
    </row>
    <row r="15" spans="1:14" s="29" customFormat="1" ht="13.5" customHeight="1" x14ac:dyDescent="0.4">
      <c r="A15" s="32"/>
      <c r="B15" s="28"/>
      <c r="C15" s="28"/>
      <c r="D15" s="28"/>
      <c r="E15" s="28"/>
      <c r="F15" s="28"/>
      <c r="G15" s="28"/>
      <c r="H15" s="28"/>
      <c r="I15" s="28"/>
      <c r="J15" s="28"/>
      <c r="K15" s="28"/>
      <c r="L15" s="28"/>
      <c r="M15" s="28"/>
      <c r="N15" s="28"/>
    </row>
    <row r="16" spans="1:14" s="29" customFormat="1" ht="30.75" customHeight="1" thickBot="1" x14ac:dyDescent="0.35">
      <c r="A16" s="68"/>
      <c r="B16" s="68"/>
      <c r="C16" s="28"/>
      <c r="D16" s="28"/>
      <c r="E16" s="28"/>
      <c r="F16" s="28"/>
      <c r="G16" s="28"/>
      <c r="H16" s="28"/>
      <c r="I16" s="28"/>
      <c r="J16" s="28"/>
      <c r="K16" s="28"/>
      <c r="L16" s="28"/>
      <c r="M16" s="28"/>
      <c r="N16" s="28"/>
    </row>
    <row r="17" spans="1:26" ht="26.25" customHeight="1" thickBot="1" x14ac:dyDescent="0.3">
      <c r="A17" s="69" t="s">
        <v>16</v>
      </c>
      <c r="B17" s="69"/>
      <c r="C17" s="40"/>
      <c r="D17" s="73" t="s">
        <v>17</v>
      </c>
      <c r="E17" s="74"/>
      <c r="F17" s="74"/>
      <c r="G17" s="74"/>
      <c r="H17" s="74"/>
      <c r="I17" s="74"/>
      <c r="J17" s="74"/>
      <c r="K17" s="74"/>
      <c r="L17" s="74"/>
      <c r="M17" s="74"/>
      <c r="N17" s="75"/>
      <c r="P17" s="73" t="s">
        <v>18</v>
      </c>
      <c r="Q17" s="74"/>
      <c r="R17" s="74"/>
      <c r="S17" s="74"/>
      <c r="T17" s="74"/>
      <c r="U17" s="74"/>
      <c r="V17" s="74"/>
      <c r="W17" s="74"/>
      <c r="X17" s="74"/>
      <c r="Y17" s="74"/>
      <c r="Z17" s="75"/>
    </row>
    <row r="18" spans="1:26" ht="13.5" customHeight="1" thickBot="1" x14ac:dyDescent="0.3">
      <c r="A18" s="48" t="s">
        <v>19</v>
      </c>
      <c r="B18" s="54">
        <f>'Crop Comparison'!B27</f>
        <v>15646.151899585044</v>
      </c>
      <c r="C18" s="41"/>
      <c r="D18" s="3"/>
      <c r="E18" s="4"/>
      <c r="F18" s="59"/>
      <c r="G18" s="5"/>
      <c r="H18" s="59"/>
      <c r="I18" s="59"/>
      <c r="J18" s="59" t="s">
        <v>20</v>
      </c>
      <c r="K18" s="60"/>
      <c r="L18" s="59"/>
      <c r="M18" s="60"/>
      <c r="N18" s="59"/>
      <c r="P18" s="3"/>
      <c r="Q18" s="4"/>
      <c r="R18" s="59"/>
      <c r="S18" s="5"/>
      <c r="T18" s="59"/>
      <c r="U18" s="59"/>
      <c r="V18" s="59" t="s">
        <v>20</v>
      </c>
      <c r="W18" s="60"/>
      <c r="X18" s="59"/>
      <c r="Y18" s="60"/>
      <c r="Z18" s="59"/>
    </row>
    <row r="19" spans="1:26" ht="13.5" customHeight="1" thickBot="1" x14ac:dyDescent="0.3">
      <c r="A19" s="48" t="s">
        <v>21</v>
      </c>
      <c r="B19" s="55">
        <f>'W-RR mielies Laer opbrengs '!E27</f>
        <v>7127.22</v>
      </c>
      <c r="C19" s="41"/>
      <c r="D19" s="73" t="s">
        <v>22</v>
      </c>
      <c r="E19" s="75"/>
      <c r="F19" s="6">
        <f>G19-250</f>
        <v>2800</v>
      </c>
      <c r="G19" s="6">
        <f>H19-250</f>
        <v>3050</v>
      </c>
      <c r="H19" s="6">
        <f>I19-250</f>
        <v>3300</v>
      </c>
      <c r="I19" s="6">
        <f>J19-250</f>
        <v>3550</v>
      </c>
      <c r="J19" s="61">
        <f>B24</f>
        <v>3800</v>
      </c>
      <c r="K19" s="6">
        <f>J19+250</f>
        <v>4050</v>
      </c>
      <c r="L19" s="6">
        <f>K19+250</f>
        <v>4300</v>
      </c>
      <c r="M19" s="6">
        <f>L19+250</f>
        <v>4550</v>
      </c>
      <c r="N19" s="6">
        <f>M19+250</f>
        <v>4800</v>
      </c>
      <c r="P19" s="73" t="s">
        <v>22</v>
      </c>
      <c r="Q19" s="75"/>
      <c r="R19" s="6">
        <f>S19-250</f>
        <v>2800</v>
      </c>
      <c r="S19" s="6">
        <f>T19-250</f>
        <v>3050</v>
      </c>
      <c r="T19" s="6">
        <f>U19-250</f>
        <v>3300</v>
      </c>
      <c r="U19" s="6">
        <f>V19-250</f>
        <v>3550</v>
      </c>
      <c r="V19" s="59">
        <f>J19</f>
        <v>3800</v>
      </c>
      <c r="W19" s="6">
        <f>V19+250</f>
        <v>4050</v>
      </c>
      <c r="X19" s="6">
        <f>W19+250</f>
        <v>4300</v>
      </c>
      <c r="Y19" s="6">
        <f>X19+250</f>
        <v>4550</v>
      </c>
      <c r="Z19" s="6">
        <f>Y19+250</f>
        <v>4800</v>
      </c>
    </row>
    <row r="20" spans="1:26" ht="13.5" customHeight="1" thickBot="1" x14ac:dyDescent="0.3">
      <c r="A20" s="49" t="s">
        <v>23</v>
      </c>
      <c r="B20" s="56">
        <f>B19+B18</f>
        <v>22773.371899585043</v>
      </c>
      <c r="C20" s="42"/>
      <c r="D20" s="76" t="s">
        <v>24</v>
      </c>
      <c r="E20" s="77"/>
      <c r="F20" s="7">
        <f t="shared" ref="F20:N20" si="0">F19-$B$25</f>
        <v>2391.84</v>
      </c>
      <c r="G20" s="7">
        <f t="shared" si="0"/>
        <v>2641.84</v>
      </c>
      <c r="H20" s="7">
        <f t="shared" si="0"/>
        <v>2891.84</v>
      </c>
      <c r="I20" s="7">
        <f t="shared" si="0"/>
        <v>3141.84</v>
      </c>
      <c r="J20" s="62">
        <f t="shared" si="0"/>
        <v>3391.84</v>
      </c>
      <c r="K20" s="7">
        <f t="shared" si="0"/>
        <v>3641.84</v>
      </c>
      <c r="L20" s="7">
        <f t="shared" si="0"/>
        <v>3891.84</v>
      </c>
      <c r="M20" s="7">
        <f t="shared" si="0"/>
        <v>4141.84</v>
      </c>
      <c r="N20" s="7">
        <f t="shared" si="0"/>
        <v>4391.84</v>
      </c>
      <c r="P20" s="76" t="s">
        <v>24</v>
      </c>
      <c r="Q20" s="77"/>
      <c r="R20" s="7">
        <f t="shared" ref="R20:Z20" si="1">R19-$B$25</f>
        <v>2391.84</v>
      </c>
      <c r="S20" s="7">
        <f t="shared" si="1"/>
        <v>2641.84</v>
      </c>
      <c r="T20" s="7">
        <f t="shared" si="1"/>
        <v>2891.84</v>
      </c>
      <c r="U20" s="7">
        <f t="shared" si="1"/>
        <v>3141.84</v>
      </c>
      <c r="V20" s="63">
        <f t="shared" si="1"/>
        <v>3391.84</v>
      </c>
      <c r="W20" s="7">
        <f t="shared" si="1"/>
        <v>3641.84</v>
      </c>
      <c r="X20" s="7">
        <f t="shared" si="1"/>
        <v>3891.84</v>
      </c>
      <c r="Y20" s="7">
        <f t="shared" si="1"/>
        <v>4141.84</v>
      </c>
      <c r="Z20" s="7">
        <f t="shared" si="1"/>
        <v>4391.84</v>
      </c>
    </row>
    <row r="21" spans="1:26" ht="13.5" customHeight="1" thickBot="1" x14ac:dyDescent="0.3">
      <c r="A21" s="48"/>
      <c r="B21" s="41"/>
      <c r="C21" s="41"/>
      <c r="D21" s="70" t="s">
        <v>25</v>
      </c>
      <c r="E21" s="8">
        <f>E22-0.5</f>
        <v>3</v>
      </c>
      <c r="F21" s="9">
        <f>F$20-($B$20/$E21)</f>
        <v>-5199.2839665283473</v>
      </c>
      <c r="G21" s="10">
        <f t="shared" ref="F21:N25" si="2">G$20-($B$20/$E21)</f>
        <v>-4949.2839665283473</v>
      </c>
      <c r="H21" s="10">
        <f t="shared" si="2"/>
        <v>-4699.2839665283473</v>
      </c>
      <c r="I21" s="10">
        <f t="shared" si="2"/>
        <v>-4449.2839665283473</v>
      </c>
      <c r="J21" s="10">
        <f t="shared" si="2"/>
        <v>-4199.2839665283473</v>
      </c>
      <c r="K21" s="10">
        <f t="shared" si="2"/>
        <v>-3949.2839665283473</v>
      </c>
      <c r="L21" s="10">
        <f t="shared" si="2"/>
        <v>-3699.2839665283473</v>
      </c>
      <c r="M21" s="11">
        <f t="shared" si="2"/>
        <v>-3449.2839665283473</v>
      </c>
      <c r="N21" s="12">
        <f t="shared" si="2"/>
        <v>-3199.2839665283473</v>
      </c>
      <c r="P21" s="70" t="s">
        <v>25</v>
      </c>
      <c r="Q21" s="8">
        <f>Q22-0.5</f>
        <v>3</v>
      </c>
      <c r="R21" s="9">
        <f>R$20-($B$18/$E21)</f>
        <v>-2823.5439665283475</v>
      </c>
      <c r="S21" s="9">
        <f t="shared" ref="S21:Z25" si="3">S$20-($B$18/$E21)</f>
        <v>-2573.5439665283475</v>
      </c>
      <c r="T21" s="9">
        <f t="shared" si="3"/>
        <v>-2323.5439665283475</v>
      </c>
      <c r="U21" s="9">
        <f t="shared" si="3"/>
        <v>-2073.5439665283475</v>
      </c>
      <c r="V21" s="9">
        <f t="shared" si="3"/>
        <v>-1823.5439665283475</v>
      </c>
      <c r="W21" s="9">
        <f t="shared" si="3"/>
        <v>-1573.5439665283475</v>
      </c>
      <c r="X21" s="9">
        <f t="shared" si="3"/>
        <v>-1323.5439665283475</v>
      </c>
      <c r="Y21" s="9">
        <f t="shared" si="3"/>
        <v>-1073.5439665283475</v>
      </c>
      <c r="Z21" s="9">
        <f t="shared" si="3"/>
        <v>-823.54396652834748</v>
      </c>
    </row>
    <row r="22" spans="1:26" ht="13.5" customHeight="1" thickBot="1" x14ac:dyDescent="0.3">
      <c r="A22" s="48" t="s">
        <v>26</v>
      </c>
      <c r="B22" s="64">
        <v>4</v>
      </c>
      <c r="C22" s="41"/>
      <c r="D22" s="71"/>
      <c r="E22" s="8">
        <f>E23-0.5</f>
        <v>3.5</v>
      </c>
      <c r="F22" s="13">
        <f t="shared" si="2"/>
        <v>-4114.8376855957267</v>
      </c>
      <c r="G22" s="14">
        <f t="shared" si="2"/>
        <v>-3864.8376855957267</v>
      </c>
      <c r="H22" s="14">
        <f t="shared" si="2"/>
        <v>-3614.8376855957267</v>
      </c>
      <c r="I22" s="14">
        <f t="shared" si="2"/>
        <v>-3364.8376855957267</v>
      </c>
      <c r="J22" s="14">
        <f t="shared" si="2"/>
        <v>-3114.8376855957267</v>
      </c>
      <c r="K22" s="15">
        <f t="shared" si="2"/>
        <v>-2864.8376855957267</v>
      </c>
      <c r="L22" s="15">
        <f t="shared" si="2"/>
        <v>-2614.8376855957267</v>
      </c>
      <c r="M22" s="15">
        <f t="shared" si="2"/>
        <v>-2364.8376855957267</v>
      </c>
      <c r="N22" s="16">
        <f t="shared" si="2"/>
        <v>-2114.8376855957267</v>
      </c>
      <c r="P22" s="71"/>
      <c r="Q22" s="8">
        <f>Q23-0.5</f>
        <v>3.5</v>
      </c>
      <c r="R22" s="9">
        <f>R$20-($B$18/$E22)</f>
        <v>-2078.4891141671551</v>
      </c>
      <c r="S22" s="9">
        <f t="shared" si="3"/>
        <v>-1828.4891141671551</v>
      </c>
      <c r="T22" s="9">
        <f t="shared" si="3"/>
        <v>-1578.4891141671551</v>
      </c>
      <c r="U22" s="9">
        <f t="shared" si="3"/>
        <v>-1328.4891141671551</v>
      </c>
      <c r="V22" s="9">
        <f t="shared" si="3"/>
        <v>-1078.4891141671551</v>
      </c>
      <c r="W22" s="9">
        <f t="shared" si="3"/>
        <v>-828.48911416715509</v>
      </c>
      <c r="X22" s="9">
        <f t="shared" si="3"/>
        <v>-578.48911416715509</v>
      </c>
      <c r="Y22" s="9">
        <f t="shared" si="3"/>
        <v>-328.48911416715509</v>
      </c>
      <c r="Z22" s="9">
        <f t="shared" si="3"/>
        <v>-78.489114167155094</v>
      </c>
    </row>
    <row r="23" spans="1:26" ht="13.5" customHeight="1" thickBot="1" x14ac:dyDescent="0.3">
      <c r="A23" s="48"/>
      <c r="B23" s="41"/>
      <c r="C23" s="41"/>
      <c r="D23" s="71"/>
      <c r="E23" s="65">
        <f>B22</f>
        <v>4</v>
      </c>
      <c r="F23" s="13">
        <f t="shared" si="2"/>
        <v>-3301.5029748962606</v>
      </c>
      <c r="G23" s="14">
        <f t="shared" si="2"/>
        <v>-3051.5029748962606</v>
      </c>
      <c r="H23" s="14">
        <f>H$20-($B$20/$E23)</f>
        <v>-2801.5029748962606</v>
      </c>
      <c r="I23" s="14">
        <f>I$20-($B$20/$E23)</f>
        <v>-2551.5029748962606</v>
      </c>
      <c r="J23" s="57">
        <f t="shared" si="2"/>
        <v>-2301.5029748962606</v>
      </c>
      <c r="K23" s="15">
        <f t="shared" si="2"/>
        <v>-2051.5029748962606</v>
      </c>
      <c r="L23" s="15">
        <f t="shared" si="2"/>
        <v>-1801.5029748962606</v>
      </c>
      <c r="M23" s="15">
        <f>M$20-($B$20/$E23)</f>
        <v>-1551.5029748962606</v>
      </c>
      <c r="N23" s="16">
        <f t="shared" si="2"/>
        <v>-1301.5029748962606</v>
      </c>
      <c r="P23" s="71"/>
      <c r="Q23" s="65">
        <f>E23</f>
        <v>4</v>
      </c>
      <c r="R23" s="9">
        <f>R$20-($B$18/$E23)</f>
        <v>-1519.6979748962608</v>
      </c>
      <c r="S23" s="9">
        <f>S$20-($B$18/$E23)</f>
        <v>-1269.6979748962608</v>
      </c>
      <c r="T23" s="9">
        <f t="shared" si="3"/>
        <v>-1019.6979748962608</v>
      </c>
      <c r="U23" s="9">
        <f t="shared" si="3"/>
        <v>-769.6979748962608</v>
      </c>
      <c r="V23" s="9">
        <f t="shared" si="3"/>
        <v>-519.6979748962608</v>
      </c>
      <c r="W23" s="9">
        <f t="shared" si="3"/>
        <v>-269.6979748962608</v>
      </c>
      <c r="X23" s="9">
        <f t="shared" si="3"/>
        <v>-19.697974896260803</v>
      </c>
      <c r="Y23" s="9">
        <f t="shared" si="3"/>
        <v>230.3020251037392</v>
      </c>
      <c r="Z23" s="9">
        <f t="shared" si="3"/>
        <v>480.3020251037392</v>
      </c>
    </row>
    <row r="24" spans="1:26" ht="13.5" customHeight="1" thickBot="1" x14ac:dyDescent="0.3">
      <c r="A24" s="48" t="s">
        <v>176</v>
      </c>
      <c r="B24" s="54">
        <f>$B$4</f>
        <v>3800</v>
      </c>
      <c r="C24" s="41"/>
      <c r="D24" s="71"/>
      <c r="E24" s="8">
        <f>E23+0.5</f>
        <v>4.5</v>
      </c>
      <c r="F24" s="13">
        <f t="shared" si="2"/>
        <v>-2668.9093110188987</v>
      </c>
      <c r="G24" s="14">
        <f t="shared" si="2"/>
        <v>-2418.9093110188987</v>
      </c>
      <c r="H24" s="14">
        <f t="shared" si="2"/>
        <v>-2168.9093110188987</v>
      </c>
      <c r="I24" s="15">
        <f t="shared" si="2"/>
        <v>-1918.9093110188987</v>
      </c>
      <c r="J24" s="15">
        <f t="shared" si="2"/>
        <v>-1668.9093110188987</v>
      </c>
      <c r="K24" s="15">
        <f t="shared" si="2"/>
        <v>-1418.9093110188987</v>
      </c>
      <c r="L24" s="15">
        <f t="shared" si="2"/>
        <v>-1168.9093110188987</v>
      </c>
      <c r="M24" s="15">
        <f t="shared" si="2"/>
        <v>-918.90931101889873</v>
      </c>
      <c r="N24" s="16">
        <f t="shared" si="2"/>
        <v>-668.90931101889873</v>
      </c>
      <c r="P24" s="71"/>
      <c r="Q24" s="8">
        <f>Q23+0.5</f>
        <v>4.5</v>
      </c>
      <c r="R24" s="9">
        <f>R$20-($B$18/$E24)</f>
        <v>-1085.0826443522319</v>
      </c>
      <c r="S24" s="9">
        <f t="shared" si="3"/>
        <v>-835.08264435223191</v>
      </c>
      <c r="T24" s="9">
        <f t="shared" si="3"/>
        <v>-585.08264435223191</v>
      </c>
      <c r="U24" s="9">
        <f t="shared" si="3"/>
        <v>-335.08264435223191</v>
      </c>
      <c r="V24" s="9">
        <f t="shared" si="3"/>
        <v>-85.08264435223191</v>
      </c>
      <c r="W24" s="9">
        <f t="shared" si="3"/>
        <v>164.91735564776809</v>
      </c>
      <c r="X24" s="9">
        <f t="shared" si="3"/>
        <v>414.91735564776809</v>
      </c>
      <c r="Y24" s="9">
        <f t="shared" si="3"/>
        <v>664.91735564776809</v>
      </c>
      <c r="Z24" s="9">
        <f t="shared" si="3"/>
        <v>914.91735564776809</v>
      </c>
    </row>
    <row r="25" spans="1:26" ht="13.5" customHeight="1" thickBot="1" x14ac:dyDescent="0.3">
      <c r="A25" s="50" t="s">
        <v>27</v>
      </c>
      <c r="B25" s="55">
        <f>D4</f>
        <v>408.16</v>
      </c>
      <c r="C25" s="41"/>
      <c r="D25" s="72"/>
      <c r="E25" s="8">
        <f>E24+0.5</f>
        <v>5</v>
      </c>
      <c r="F25" s="17">
        <f t="shared" si="2"/>
        <v>-2162.8343799170088</v>
      </c>
      <c r="G25" s="18">
        <f t="shared" si="2"/>
        <v>-1912.8343799170088</v>
      </c>
      <c r="H25" s="19">
        <f t="shared" si="2"/>
        <v>-1662.8343799170088</v>
      </c>
      <c r="I25" s="19">
        <f t="shared" si="2"/>
        <v>-1412.8343799170088</v>
      </c>
      <c r="J25" s="19">
        <f t="shared" si="2"/>
        <v>-1162.8343799170088</v>
      </c>
      <c r="K25" s="19">
        <f t="shared" si="2"/>
        <v>-912.83437991700885</v>
      </c>
      <c r="L25" s="19">
        <f t="shared" si="2"/>
        <v>-662.83437991700885</v>
      </c>
      <c r="M25" s="19">
        <f t="shared" si="2"/>
        <v>-412.83437991700885</v>
      </c>
      <c r="N25" s="20">
        <f>N$20-($B$20/$E25)</f>
        <v>-162.83437991700885</v>
      </c>
      <c r="P25" s="72"/>
      <c r="Q25" s="8">
        <f>Q24+0.5</f>
        <v>5</v>
      </c>
      <c r="R25" s="9">
        <f>R$20-($B$18/$E25)</f>
        <v>-737.39037991700843</v>
      </c>
      <c r="S25" s="9">
        <f>S$20-($B$18/$E25)</f>
        <v>-487.39037991700843</v>
      </c>
      <c r="T25" s="9">
        <f t="shared" si="3"/>
        <v>-237.39037991700843</v>
      </c>
      <c r="U25" s="9">
        <f t="shared" si="3"/>
        <v>12.609620082991569</v>
      </c>
      <c r="V25" s="9">
        <f t="shared" si="3"/>
        <v>262.60962008299157</v>
      </c>
      <c r="W25" s="9">
        <f t="shared" si="3"/>
        <v>512.60962008299157</v>
      </c>
      <c r="X25" s="9">
        <f t="shared" si="3"/>
        <v>762.60962008299157</v>
      </c>
      <c r="Y25" s="9">
        <f t="shared" si="3"/>
        <v>1012.6096200829916</v>
      </c>
      <c r="Z25" s="9">
        <f t="shared" si="3"/>
        <v>1262.6096200829916</v>
      </c>
    </row>
    <row r="26" spans="1:26" ht="13.5" customHeight="1" x14ac:dyDescent="0.25">
      <c r="A26" s="43" t="s">
        <v>28</v>
      </c>
      <c r="B26" s="56">
        <f>B24-B25</f>
        <v>3391.84</v>
      </c>
      <c r="C26" s="41"/>
      <c r="D26" s="21"/>
      <c r="E26" s="22"/>
      <c r="F26" s="23"/>
      <c r="G26" s="23"/>
      <c r="H26" s="23"/>
      <c r="I26" s="23"/>
      <c r="J26" s="23"/>
      <c r="K26" s="23"/>
      <c r="L26" s="23"/>
      <c r="P26" s="21"/>
      <c r="Q26" s="22"/>
      <c r="R26" s="23"/>
      <c r="S26" s="23"/>
      <c r="T26" s="23"/>
      <c r="U26" s="23"/>
      <c r="V26" s="23"/>
      <c r="W26" s="23"/>
      <c r="X26" s="23"/>
    </row>
    <row r="27" spans="1:26" ht="13.5" customHeight="1" x14ac:dyDescent="0.25">
      <c r="A27" s="43"/>
      <c r="B27" s="42"/>
      <c r="C27" s="41"/>
      <c r="D27" s="21"/>
      <c r="E27" s="22"/>
      <c r="F27" s="23"/>
      <c r="G27" s="23"/>
      <c r="H27" s="23"/>
      <c r="I27" s="23"/>
      <c r="J27" s="23"/>
      <c r="K27" s="23"/>
      <c r="L27" s="23"/>
      <c r="P27" s="21"/>
      <c r="Q27" s="22"/>
      <c r="R27" s="23"/>
      <c r="S27" s="23"/>
      <c r="T27" s="23"/>
      <c r="U27" s="23"/>
      <c r="V27" s="23"/>
      <c r="W27" s="23"/>
      <c r="X27" s="23"/>
    </row>
    <row r="28" spans="1:26" ht="13.5" customHeight="1" x14ac:dyDescent="0.25">
      <c r="A28" s="43"/>
      <c r="B28" s="42"/>
      <c r="C28" s="41"/>
      <c r="D28" s="21"/>
      <c r="E28" s="22"/>
      <c r="F28" s="23"/>
      <c r="G28" s="23"/>
      <c r="H28" s="23"/>
      <c r="I28" s="23"/>
      <c r="J28" s="23"/>
      <c r="K28" s="23"/>
      <c r="L28" s="23"/>
      <c r="P28" s="21"/>
      <c r="Q28" s="22"/>
      <c r="R28" s="23"/>
      <c r="S28" s="23"/>
      <c r="T28" s="23"/>
      <c r="U28" s="23"/>
      <c r="V28" s="23"/>
      <c r="W28" s="23"/>
      <c r="X28" s="23"/>
    </row>
    <row r="29" spans="1:26" s="2" customFormat="1" ht="33.75" customHeight="1" thickBot="1" x14ac:dyDescent="0.35">
      <c r="A29" s="68"/>
      <c r="B29" s="68"/>
      <c r="C29" s="28"/>
      <c r="D29" s="1"/>
      <c r="E29" s="1"/>
      <c r="F29" s="1"/>
      <c r="G29" s="1"/>
      <c r="H29" s="1"/>
      <c r="I29" s="1"/>
      <c r="J29" s="1"/>
      <c r="K29" s="1"/>
      <c r="L29" s="1"/>
      <c r="M29" s="1"/>
      <c r="N29" s="1"/>
    </row>
    <row r="30" spans="1:26" ht="28.5" customHeight="1" thickBot="1" x14ac:dyDescent="0.3">
      <c r="A30" s="69" t="s">
        <v>29</v>
      </c>
      <c r="B30" s="69"/>
      <c r="C30" s="40"/>
      <c r="D30" s="73" t="s">
        <v>17</v>
      </c>
      <c r="E30" s="74"/>
      <c r="F30" s="74"/>
      <c r="G30" s="74"/>
      <c r="H30" s="74"/>
      <c r="I30" s="74"/>
      <c r="J30" s="74"/>
      <c r="K30" s="74"/>
      <c r="L30" s="74"/>
      <c r="M30" s="74"/>
      <c r="N30" s="75"/>
      <c r="P30" s="73" t="s">
        <v>18</v>
      </c>
      <c r="Q30" s="74"/>
      <c r="R30" s="74"/>
      <c r="S30" s="74"/>
      <c r="T30" s="74"/>
      <c r="U30" s="74"/>
      <c r="V30" s="74"/>
      <c r="W30" s="74"/>
      <c r="X30" s="74"/>
      <c r="Y30" s="74"/>
      <c r="Z30" s="75"/>
    </row>
    <row r="31" spans="1:26" ht="13.5" customHeight="1" thickBot="1" x14ac:dyDescent="0.3">
      <c r="A31" s="48" t="s">
        <v>19</v>
      </c>
      <c r="B31" s="54">
        <f>'Crop Comparison'!C27</f>
        <v>21752.689454517753</v>
      </c>
      <c r="C31" s="41"/>
      <c r="D31" s="3"/>
      <c r="E31" s="4"/>
      <c r="F31" s="59"/>
      <c r="G31" s="5"/>
      <c r="H31" s="59"/>
      <c r="I31" s="59"/>
      <c r="J31" s="59" t="s">
        <v>20</v>
      </c>
      <c r="K31" s="60"/>
      <c r="L31" s="59"/>
      <c r="M31" s="60"/>
      <c r="N31" s="59"/>
      <c r="P31" s="3"/>
      <c r="Q31" s="4"/>
      <c r="R31" s="59"/>
      <c r="S31" s="5"/>
      <c r="T31" s="59"/>
      <c r="U31" s="59"/>
      <c r="V31" s="59" t="s">
        <v>20</v>
      </c>
      <c r="W31" s="60"/>
      <c r="X31" s="59"/>
      <c r="Y31" s="60"/>
      <c r="Z31" s="59"/>
    </row>
    <row r="32" spans="1:26" ht="13.5" customHeight="1" thickBot="1" x14ac:dyDescent="0.3">
      <c r="A32" s="48" t="s">
        <v>21</v>
      </c>
      <c r="B32" s="55">
        <f>'W-RR mielies Hoer opbrengs  '!G27</f>
        <v>7328.6099999999988</v>
      </c>
      <c r="C32" s="41"/>
      <c r="D32" s="73" t="s">
        <v>22</v>
      </c>
      <c r="E32" s="75"/>
      <c r="F32" s="6">
        <f>G32-250</f>
        <v>2800</v>
      </c>
      <c r="G32" s="6">
        <f>H32-250</f>
        <v>3050</v>
      </c>
      <c r="H32" s="6">
        <f>I32-250</f>
        <v>3300</v>
      </c>
      <c r="I32" s="6">
        <f>J32-250</f>
        <v>3550</v>
      </c>
      <c r="J32" s="61">
        <f>B37</f>
        <v>3800</v>
      </c>
      <c r="K32" s="6">
        <f>J32+250</f>
        <v>4050</v>
      </c>
      <c r="L32" s="6">
        <f>K32+250</f>
        <v>4300</v>
      </c>
      <c r="M32" s="6">
        <f>L32+250</f>
        <v>4550</v>
      </c>
      <c r="N32" s="6">
        <f>M32+250</f>
        <v>4800</v>
      </c>
      <c r="P32" s="73" t="s">
        <v>22</v>
      </c>
      <c r="Q32" s="75"/>
      <c r="R32" s="6">
        <f>S32-250</f>
        <v>2800</v>
      </c>
      <c r="S32" s="6">
        <f>T32-250</f>
        <v>3050</v>
      </c>
      <c r="T32" s="6">
        <f>U32-250</f>
        <v>3300</v>
      </c>
      <c r="U32" s="6">
        <f>V32-250</f>
        <v>3550</v>
      </c>
      <c r="V32" s="59">
        <f>J32</f>
        <v>3800</v>
      </c>
      <c r="W32" s="6">
        <f>V32+250</f>
        <v>4050</v>
      </c>
      <c r="X32" s="6">
        <f>W32+250</f>
        <v>4300</v>
      </c>
      <c r="Y32" s="6">
        <f>X32+250</f>
        <v>4550</v>
      </c>
      <c r="Z32" s="6">
        <f>Y32+250</f>
        <v>4800</v>
      </c>
    </row>
    <row r="33" spans="1:26" ht="13.5" customHeight="1" thickBot="1" x14ac:dyDescent="0.3">
      <c r="A33" s="49" t="s">
        <v>23</v>
      </c>
      <c r="B33" s="56">
        <f>B32+B31</f>
        <v>29081.29945451775</v>
      </c>
      <c r="C33" s="42"/>
      <c r="D33" s="76" t="s">
        <v>24</v>
      </c>
      <c r="E33" s="77"/>
      <c r="F33" s="7">
        <f t="shared" ref="F33:N33" si="4">F32-$B$25</f>
        <v>2391.84</v>
      </c>
      <c r="G33" s="7">
        <f t="shared" si="4"/>
        <v>2641.84</v>
      </c>
      <c r="H33" s="7">
        <f t="shared" si="4"/>
        <v>2891.84</v>
      </c>
      <c r="I33" s="7">
        <f t="shared" si="4"/>
        <v>3141.84</v>
      </c>
      <c r="J33" s="62">
        <f>J32-$B$25</f>
        <v>3391.84</v>
      </c>
      <c r="K33" s="7">
        <f t="shared" si="4"/>
        <v>3641.84</v>
      </c>
      <c r="L33" s="7">
        <f t="shared" si="4"/>
        <v>3891.84</v>
      </c>
      <c r="M33" s="7">
        <f t="shared" si="4"/>
        <v>4141.84</v>
      </c>
      <c r="N33" s="7">
        <f t="shared" si="4"/>
        <v>4391.84</v>
      </c>
      <c r="P33" s="76" t="s">
        <v>24</v>
      </c>
      <c r="Q33" s="77"/>
      <c r="R33" s="7">
        <f t="shared" ref="R33:Z33" si="5">R32-$B$25</f>
        <v>2391.84</v>
      </c>
      <c r="S33" s="7">
        <f t="shared" si="5"/>
        <v>2641.84</v>
      </c>
      <c r="T33" s="7">
        <f t="shared" si="5"/>
        <v>2891.84</v>
      </c>
      <c r="U33" s="7">
        <f t="shared" si="5"/>
        <v>3141.84</v>
      </c>
      <c r="V33" s="63">
        <f t="shared" si="5"/>
        <v>3391.84</v>
      </c>
      <c r="W33" s="7">
        <f t="shared" si="5"/>
        <v>3641.84</v>
      </c>
      <c r="X33" s="7">
        <f t="shared" si="5"/>
        <v>3891.84</v>
      </c>
      <c r="Y33" s="7">
        <f t="shared" si="5"/>
        <v>4141.84</v>
      </c>
      <c r="Z33" s="7">
        <f t="shared" si="5"/>
        <v>4391.84</v>
      </c>
    </row>
    <row r="34" spans="1:26" ht="13.5" customHeight="1" thickBot="1" x14ac:dyDescent="0.3">
      <c r="A34" s="48"/>
      <c r="B34" s="41"/>
      <c r="C34" s="41"/>
      <c r="D34" s="70" t="s">
        <v>25</v>
      </c>
      <c r="E34" s="8">
        <f>E35-0.5</f>
        <v>5</v>
      </c>
      <c r="F34" s="9">
        <f t="shared" ref="F34:N38" si="6">F$33-($B$33/$E34)</f>
        <v>-3424.4198909035495</v>
      </c>
      <c r="G34" s="9">
        <f t="shared" si="6"/>
        <v>-3174.4198909035495</v>
      </c>
      <c r="H34" s="9">
        <f t="shared" si="6"/>
        <v>-2924.4198909035495</v>
      </c>
      <c r="I34" s="9">
        <f t="shared" si="6"/>
        <v>-2674.4198909035495</v>
      </c>
      <c r="J34" s="9">
        <f t="shared" si="6"/>
        <v>-2424.4198909035495</v>
      </c>
      <c r="K34" s="9">
        <f t="shared" si="6"/>
        <v>-2174.4198909035495</v>
      </c>
      <c r="L34" s="9">
        <f t="shared" si="6"/>
        <v>-1924.4198909035495</v>
      </c>
      <c r="M34" s="9">
        <f t="shared" si="6"/>
        <v>-1674.4198909035495</v>
      </c>
      <c r="N34" s="9">
        <f t="shared" si="6"/>
        <v>-1424.4198909035495</v>
      </c>
      <c r="P34" s="70" t="s">
        <v>25</v>
      </c>
      <c r="Q34" s="8">
        <f>Q35-0.5</f>
        <v>5</v>
      </c>
      <c r="R34" s="9">
        <f t="shared" ref="R34:Z38" si="7">R$33-($B$31/$E34)</f>
        <v>-1958.6978909035506</v>
      </c>
      <c r="S34" s="9">
        <f t="shared" si="7"/>
        <v>-1708.6978909035506</v>
      </c>
      <c r="T34" s="9">
        <f t="shared" si="7"/>
        <v>-1458.6978909035506</v>
      </c>
      <c r="U34" s="9">
        <f t="shared" si="7"/>
        <v>-1208.6978909035506</v>
      </c>
      <c r="V34" s="9">
        <f t="shared" si="7"/>
        <v>-958.69789090355061</v>
      </c>
      <c r="W34" s="9">
        <f t="shared" si="7"/>
        <v>-708.69789090355061</v>
      </c>
      <c r="X34" s="9">
        <f t="shared" si="7"/>
        <v>-458.69789090355061</v>
      </c>
      <c r="Y34" s="9">
        <f t="shared" si="7"/>
        <v>-208.69789090355061</v>
      </c>
      <c r="Z34" s="9">
        <f t="shared" si="7"/>
        <v>41.302109096449385</v>
      </c>
    </row>
    <row r="35" spans="1:26" ht="13.5" customHeight="1" thickBot="1" x14ac:dyDescent="0.3">
      <c r="A35" s="48" t="s">
        <v>26</v>
      </c>
      <c r="B35" s="64">
        <v>6</v>
      </c>
      <c r="C35" s="41"/>
      <c r="D35" s="71"/>
      <c r="E35" s="8">
        <f>E36-0.5</f>
        <v>5.5</v>
      </c>
      <c r="F35" s="9">
        <f t="shared" si="6"/>
        <v>-2895.6689917305002</v>
      </c>
      <c r="G35" s="9">
        <f t="shared" si="6"/>
        <v>-2645.6689917305002</v>
      </c>
      <c r="H35" s="9">
        <f t="shared" si="6"/>
        <v>-2395.6689917305002</v>
      </c>
      <c r="I35" s="9">
        <f t="shared" si="6"/>
        <v>-2145.6689917305002</v>
      </c>
      <c r="J35" s="9">
        <f t="shared" si="6"/>
        <v>-1895.6689917305002</v>
      </c>
      <c r="K35" s="9">
        <f t="shared" si="6"/>
        <v>-1645.6689917305002</v>
      </c>
      <c r="L35" s="9">
        <f t="shared" si="6"/>
        <v>-1395.6689917305002</v>
      </c>
      <c r="M35" s="9">
        <f t="shared" si="6"/>
        <v>-1145.6689917305002</v>
      </c>
      <c r="N35" s="9">
        <f t="shared" si="6"/>
        <v>-895.66899173050024</v>
      </c>
      <c r="P35" s="71"/>
      <c r="Q35" s="8">
        <f>Q36-0.5</f>
        <v>5.5</v>
      </c>
      <c r="R35" s="9">
        <f t="shared" si="7"/>
        <v>-1563.1944462759548</v>
      </c>
      <c r="S35" s="9">
        <f t="shared" si="7"/>
        <v>-1313.1944462759548</v>
      </c>
      <c r="T35" s="9">
        <f t="shared" si="7"/>
        <v>-1063.1944462759548</v>
      </c>
      <c r="U35" s="9">
        <f t="shared" si="7"/>
        <v>-813.19444627595476</v>
      </c>
      <c r="V35" s="9">
        <f t="shared" si="7"/>
        <v>-563.19444627595476</v>
      </c>
      <c r="W35" s="9">
        <f t="shared" si="7"/>
        <v>-313.19444627595476</v>
      </c>
      <c r="X35" s="9">
        <f t="shared" si="7"/>
        <v>-63.19444627595476</v>
      </c>
      <c r="Y35" s="9">
        <f t="shared" si="7"/>
        <v>186.80555372404524</v>
      </c>
      <c r="Z35" s="9">
        <f t="shared" si="7"/>
        <v>436.80555372404524</v>
      </c>
    </row>
    <row r="36" spans="1:26" ht="13.5" customHeight="1" thickBot="1" x14ac:dyDescent="0.3">
      <c r="A36" s="48"/>
      <c r="B36" s="41"/>
      <c r="C36" s="41"/>
      <c r="D36" s="71"/>
      <c r="E36" s="65">
        <f>B35</f>
        <v>6</v>
      </c>
      <c r="F36" s="9">
        <f t="shared" si="6"/>
        <v>-2455.0432424196251</v>
      </c>
      <c r="G36" s="9">
        <f t="shared" si="6"/>
        <v>-2205.0432424196251</v>
      </c>
      <c r="H36" s="9">
        <f t="shared" si="6"/>
        <v>-1955.0432424196251</v>
      </c>
      <c r="I36" s="9">
        <f>I$33-($B$33/$E36)</f>
        <v>-1705.0432424196251</v>
      </c>
      <c r="J36" s="58">
        <f t="shared" si="6"/>
        <v>-1455.0432424196251</v>
      </c>
      <c r="K36" s="9">
        <f t="shared" si="6"/>
        <v>-1205.0432424196251</v>
      </c>
      <c r="L36" s="9">
        <f t="shared" si="6"/>
        <v>-955.04324241962513</v>
      </c>
      <c r="M36" s="9">
        <f t="shared" si="6"/>
        <v>-705.04324241962513</v>
      </c>
      <c r="N36" s="9">
        <f t="shared" si="6"/>
        <v>-455.04324241962513</v>
      </c>
      <c r="P36" s="71"/>
      <c r="Q36" s="65">
        <f>E36</f>
        <v>6</v>
      </c>
      <c r="R36" s="9">
        <f t="shared" si="7"/>
        <v>-1233.6082424196252</v>
      </c>
      <c r="S36" s="9">
        <f t="shared" si="7"/>
        <v>-983.60824241962518</v>
      </c>
      <c r="T36" s="9">
        <f t="shared" si="7"/>
        <v>-733.60824241962518</v>
      </c>
      <c r="U36" s="9">
        <f t="shared" si="7"/>
        <v>-483.60824241962518</v>
      </c>
      <c r="V36" s="9">
        <f t="shared" si="7"/>
        <v>-233.60824241962518</v>
      </c>
      <c r="W36" s="9">
        <f t="shared" si="7"/>
        <v>16.391757580374815</v>
      </c>
      <c r="X36" s="9">
        <f t="shared" si="7"/>
        <v>266.39175758037482</v>
      </c>
      <c r="Y36" s="9">
        <f t="shared" si="7"/>
        <v>516.39175758037482</v>
      </c>
      <c r="Z36" s="9">
        <f t="shared" si="7"/>
        <v>766.39175758037482</v>
      </c>
    </row>
    <row r="37" spans="1:26" ht="13.5" customHeight="1" thickBot="1" x14ac:dyDescent="0.3">
      <c r="A37" s="48" t="s">
        <v>176</v>
      </c>
      <c r="B37" s="54">
        <f>B4</f>
        <v>3800</v>
      </c>
      <c r="C37" s="41"/>
      <c r="D37" s="71"/>
      <c r="E37" s="8">
        <f>E36+0.5</f>
        <v>6.5</v>
      </c>
      <c r="F37" s="9">
        <f t="shared" si="6"/>
        <v>-2082.2060699258072</v>
      </c>
      <c r="G37" s="9">
        <f t="shared" si="6"/>
        <v>-1832.2060699258072</v>
      </c>
      <c r="H37" s="9">
        <f t="shared" si="6"/>
        <v>-1582.2060699258072</v>
      </c>
      <c r="I37" s="9">
        <f t="shared" si="6"/>
        <v>-1332.2060699258072</v>
      </c>
      <c r="J37" s="9">
        <f t="shared" si="6"/>
        <v>-1082.2060699258072</v>
      </c>
      <c r="K37" s="9">
        <f t="shared" si="6"/>
        <v>-832.20606992580724</v>
      </c>
      <c r="L37" s="9">
        <f t="shared" si="6"/>
        <v>-582.20606992580724</v>
      </c>
      <c r="M37" s="9">
        <f t="shared" si="6"/>
        <v>-332.20606992580724</v>
      </c>
      <c r="N37" s="9">
        <f t="shared" si="6"/>
        <v>-82.206069925807242</v>
      </c>
      <c r="P37" s="71"/>
      <c r="Q37" s="8">
        <f>Q36+0.5</f>
        <v>6.5</v>
      </c>
      <c r="R37" s="9">
        <f t="shared" si="7"/>
        <v>-954.72760838734666</v>
      </c>
      <c r="S37" s="9">
        <f t="shared" si="7"/>
        <v>-704.72760838734666</v>
      </c>
      <c r="T37" s="9">
        <f t="shared" si="7"/>
        <v>-454.72760838734666</v>
      </c>
      <c r="U37" s="9">
        <f t="shared" si="7"/>
        <v>-204.72760838734666</v>
      </c>
      <c r="V37" s="9">
        <f t="shared" si="7"/>
        <v>45.272391612653337</v>
      </c>
      <c r="W37" s="9">
        <f t="shared" si="7"/>
        <v>295.27239161265334</v>
      </c>
      <c r="X37" s="9">
        <f t="shared" si="7"/>
        <v>545.27239161265334</v>
      </c>
      <c r="Y37" s="9">
        <f t="shared" si="7"/>
        <v>795.27239161265334</v>
      </c>
      <c r="Z37" s="9">
        <f t="shared" si="7"/>
        <v>1045.2723916126533</v>
      </c>
    </row>
    <row r="38" spans="1:26" ht="13.5" customHeight="1" thickBot="1" x14ac:dyDescent="0.3">
      <c r="A38" s="50" t="s">
        <v>27</v>
      </c>
      <c r="B38" s="55">
        <v>420</v>
      </c>
      <c r="C38" s="41"/>
      <c r="D38" s="72"/>
      <c r="E38" s="8">
        <f>E37+0.5</f>
        <v>7</v>
      </c>
      <c r="F38" s="9">
        <f>F$33-($B$33/$E38)</f>
        <v>-1762.6313506453926</v>
      </c>
      <c r="G38" s="9">
        <f t="shared" si="6"/>
        <v>-1512.6313506453926</v>
      </c>
      <c r="H38" s="9">
        <f t="shared" si="6"/>
        <v>-1262.6313506453926</v>
      </c>
      <c r="I38" s="9">
        <f t="shared" si="6"/>
        <v>-1012.6313506453926</v>
      </c>
      <c r="J38" s="9">
        <f t="shared" si="6"/>
        <v>-762.63135064539256</v>
      </c>
      <c r="K38" s="9">
        <f t="shared" si="6"/>
        <v>-512.63135064539256</v>
      </c>
      <c r="L38" s="9">
        <f t="shared" si="6"/>
        <v>-262.63135064539256</v>
      </c>
      <c r="M38" s="9">
        <f t="shared" si="6"/>
        <v>-12.631350645392558</v>
      </c>
      <c r="N38" s="9">
        <f>N$33-($B$33/$E38)</f>
        <v>237.36864935460744</v>
      </c>
      <c r="P38" s="72"/>
      <c r="Q38" s="8">
        <f>Q37+0.5</f>
        <v>7</v>
      </c>
      <c r="R38" s="9">
        <f>R$33-($B$31/$E38)</f>
        <v>-715.68706493110722</v>
      </c>
      <c r="S38" s="9">
        <f t="shared" si="7"/>
        <v>-465.68706493110722</v>
      </c>
      <c r="T38" s="9">
        <f t="shared" si="7"/>
        <v>-215.68706493110722</v>
      </c>
      <c r="U38" s="9">
        <f t="shared" si="7"/>
        <v>34.312935068892784</v>
      </c>
      <c r="V38" s="9">
        <f t="shared" si="7"/>
        <v>284.31293506889278</v>
      </c>
      <c r="W38" s="9">
        <f t="shared" si="7"/>
        <v>534.31293506889278</v>
      </c>
      <c r="X38" s="9">
        <f t="shared" si="7"/>
        <v>784.31293506889278</v>
      </c>
      <c r="Y38" s="9">
        <f t="shared" si="7"/>
        <v>1034.3129350688928</v>
      </c>
      <c r="Z38" s="9">
        <f t="shared" si="7"/>
        <v>1284.3129350688928</v>
      </c>
    </row>
    <row r="39" spans="1:26" ht="13.5" customHeight="1" x14ac:dyDescent="0.25">
      <c r="A39" s="43" t="s">
        <v>28</v>
      </c>
      <c r="B39" s="56">
        <f>B37-B38</f>
        <v>3380</v>
      </c>
      <c r="C39" s="41"/>
      <c r="D39" s="21"/>
      <c r="E39" s="22"/>
      <c r="F39" s="23"/>
      <c r="G39" s="23"/>
      <c r="H39" s="23"/>
      <c r="I39" s="23"/>
      <c r="J39" s="23"/>
      <c r="K39" s="23"/>
      <c r="L39" s="23"/>
      <c r="P39" s="21"/>
      <c r="Q39" s="22"/>
      <c r="R39" s="23"/>
      <c r="S39" s="23"/>
      <c r="T39" s="23"/>
      <c r="U39" s="23"/>
      <c r="V39" s="23"/>
      <c r="W39" s="23"/>
      <c r="X39" s="23"/>
    </row>
    <row r="40" spans="1:26" ht="13.5" customHeight="1" x14ac:dyDescent="0.25">
      <c r="A40" s="43"/>
      <c r="B40" s="42"/>
      <c r="C40" s="41"/>
      <c r="D40" s="21"/>
      <c r="E40" s="22"/>
      <c r="F40" s="23"/>
      <c r="G40" s="23"/>
      <c r="H40" s="23"/>
      <c r="I40" s="23"/>
      <c r="J40" s="23"/>
      <c r="K40" s="23"/>
      <c r="L40" s="23"/>
      <c r="P40" s="21"/>
      <c r="Q40" s="22"/>
      <c r="R40" s="23"/>
      <c r="S40" s="23"/>
      <c r="T40" s="23"/>
      <c r="U40" s="23"/>
      <c r="V40" s="23"/>
      <c r="W40" s="23"/>
      <c r="X40" s="23"/>
    </row>
    <row r="41" spans="1:26" ht="13.5" customHeight="1" x14ac:dyDescent="0.25">
      <c r="A41" s="43"/>
      <c r="B41" s="42"/>
      <c r="C41" s="41"/>
      <c r="D41" s="21"/>
      <c r="E41" s="22"/>
      <c r="F41" s="23"/>
      <c r="G41" s="23"/>
      <c r="H41" s="23"/>
      <c r="I41" s="23"/>
      <c r="J41" s="23"/>
      <c r="K41" s="23"/>
      <c r="L41" s="23"/>
      <c r="P41" s="21"/>
      <c r="Q41" s="22"/>
      <c r="R41" s="23"/>
      <c r="S41" s="23"/>
      <c r="T41" s="23"/>
      <c r="U41" s="23"/>
      <c r="V41" s="23"/>
      <c r="W41" s="23"/>
      <c r="X41" s="23"/>
    </row>
    <row r="42" spans="1:26" s="2" customFormat="1" ht="13.5" customHeight="1" thickBot="1" x14ac:dyDescent="0.35">
      <c r="A42" s="68"/>
      <c r="B42" s="68"/>
      <c r="C42" s="28"/>
      <c r="D42" s="1"/>
      <c r="E42" s="1"/>
      <c r="F42" s="1"/>
      <c r="G42" s="1"/>
      <c r="H42" s="1"/>
      <c r="I42" s="1"/>
      <c r="J42" s="1"/>
      <c r="K42" s="1"/>
      <c r="L42" s="1"/>
      <c r="M42" s="1"/>
      <c r="N42" s="1"/>
    </row>
    <row r="43" spans="1:26" ht="20.25" customHeight="1" thickBot="1" x14ac:dyDescent="0.3">
      <c r="A43" s="69" t="s">
        <v>30</v>
      </c>
      <c r="B43" s="69"/>
      <c r="C43" s="40"/>
      <c r="D43" s="73" t="s">
        <v>17</v>
      </c>
      <c r="E43" s="74"/>
      <c r="F43" s="74"/>
      <c r="G43" s="74"/>
      <c r="H43" s="74"/>
      <c r="I43" s="74"/>
      <c r="J43" s="74"/>
      <c r="K43" s="74"/>
      <c r="L43" s="74"/>
      <c r="M43" s="74"/>
      <c r="N43" s="75"/>
      <c r="P43" s="73" t="s">
        <v>18</v>
      </c>
      <c r="Q43" s="74"/>
      <c r="R43" s="74"/>
      <c r="S43" s="74"/>
      <c r="T43" s="74"/>
      <c r="U43" s="74"/>
      <c r="V43" s="74"/>
      <c r="W43" s="74"/>
      <c r="X43" s="74"/>
      <c r="Y43" s="74"/>
      <c r="Z43" s="75"/>
    </row>
    <row r="44" spans="1:26" ht="13.5" customHeight="1" thickBot="1" x14ac:dyDescent="0.3">
      <c r="A44" s="48" t="s">
        <v>19</v>
      </c>
      <c r="B44" s="54">
        <f>'W-BT Mielies '!F25</f>
        <v>18568.284434575766</v>
      </c>
      <c r="C44" s="41"/>
      <c r="D44" s="3"/>
      <c r="E44" s="4"/>
      <c r="F44" s="59"/>
      <c r="G44" s="5"/>
      <c r="H44" s="59"/>
      <c r="I44" s="59"/>
      <c r="J44" s="59" t="s">
        <v>20</v>
      </c>
      <c r="K44" s="60"/>
      <c r="L44" s="59"/>
      <c r="M44" s="60"/>
      <c r="N44" s="59"/>
      <c r="P44" s="3"/>
      <c r="Q44" s="4"/>
      <c r="R44" s="59"/>
      <c r="S44" s="5"/>
      <c r="T44" s="59"/>
      <c r="U44" s="59"/>
      <c r="V44" s="59" t="s">
        <v>20</v>
      </c>
      <c r="W44" s="60"/>
      <c r="X44" s="59"/>
      <c r="Y44" s="60"/>
      <c r="Z44" s="59"/>
    </row>
    <row r="45" spans="1:26" ht="13.5" customHeight="1" thickBot="1" x14ac:dyDescent="0.3">
      <c r="A45" s="48" t="s">
        <v>21</v>
      </c>
      <c r="B45" s="55">
        <f>'W-BT Mielies '!F27</f>
        <v>7658.1599999999989</v>
      </c>
      <c r="C45" s="41"/>
      <c r="D45" s="73" t="s">
        <v>22</v>
      </c>
      <c r="E45" s="75"/>
      <c r="F45" s="6">
        <f>G45-250</f>
        <v>2800</v>
      </c>
      <c r="G45" s="6">
        <f>H45-250</f>
        <v>3050</v>
      </c>
      <c r="H45" s="6">
        <f>I45-250</f>
        <v>3300</v>
      </c>
      <c r="I45" s="6">
        <f>J45-250</f>
        <v>3550</v>
      </c>
      <c r="J45" s="59">
        <f>B50</f>
        <v>3800</v>
      </c>
      <c r="K45" s="6">
        <f>J45+250</f>
        <v>4050</v>
      </c>
      <c r="L45" s="6">
        <f>K45+250</f>
        <v>4300</v>
      </c>
      <c r="M45" s="6">
        <f>L45+250</f>
        <v>4550</v>
      </c>
      <c r="N45" s="6">
        <f>M45+250</f>
        <v>4800</v>
      </c>
      <c r="P45" s="73" t="s">
        <v>22</v>
      </c>
      <c r="Q45" s="75"/>
      <c r="R45" s="6">
        <f>S45-250</f>
        <v>2800</v>
      </c>
      <c r="S45" s="6">
        <f>T45-250</f>
        <v>3050</v>
      </c>
      <c r="T45" s="6">
        <f>U45-250</f>
        <v>3300</v>
      </c>
      <c r="U45" s="6">
        <f>V45-250</f>
        <v>3550</v>
      </c>
      <c r="V45" s="59">
        <f>J45</f>
        <v>3800</v>
      </c>
      <c r="W45" s="6">
        <f>V45+250</f>
        <v>4050</v>
      </c>
      <c r="X45" s="6">
        <f>W45+250</f>
        <v>4300</v>
      </c>
      <c r="Y45" s="6">
        <f>X45+250</f>
        <v>4550</v>
      </c>
      <c r="Z45" s="6">
        <f>Y45+250</f>
        <v>4800</v>
      </c>
    </row>
    <row r="46" spans="1:26" ht="13.5" customHeight="1" thickBot="1" x14ac:dyDescent="0.3">
      <c r="A46" s="49" t="s">
        <v>23</v>
      </c>
      <c r="B46" s="56">
        <f>B45+B44</f>
        <v>26226.444434575766</v>
      </c>
      <c r="C46" s="42"/>
      <c r="D46" s="76" t="s">
        <v>24</v>
      </c>
      <c r="E46" s="77"/>
      <c r="F46" s="6">
        <f t="shared" ref="F46:N46" si="8">F45-$B$51</f>
        <v>2391.84</v>
      </c>
      <c r="G46" s="6">
        <f t="shared" si="8"/>
        <v>2641.84</v>
      </c>
      <c r="H46" s="6">
        <f t="shared" si="8"/>
        <v>2891.84</v>
      </c>
      <c r="I46" s="6">
        <f t="shared" si="8"/>
        <v>3141.84</v>
      </c>
      <c r="J46" s="59">
        <f t="shared" si="8"/>
        <v>3391.84</v>
      </c>
      <c r="K46" s="6">
        <f t="shared" si="8"/>
        <v>3641.84</v>
      </c>
      <c r="L46" s="6">
        <f t="shared" si="8"/>
        <v>3891.84</v>
      </c>
      <c r="M46" s="6">
        <f t="shared" si="8"/>
        <v>4141.84</v>
      </c>
      <c r="N46" s="6">
        <f t="shared" si="8"/>
        <v>4391.84</v>
      </c>
      <c r="P46" s="76" t="s">
        <v>24</v>
      </c>
      <c r="Q46" s="77"/>
      <c r="R46" s="6">
        <f t="shared" ref="R46:Z46" si="9">R45-$B$51</f>
        <v>2391.84</v>
      </c>
      <c r="S46" s="6">
        <f t="shared" si="9"/>
        <v>2641.84</v>
      </c>
      <c r="T46" s="6">
        <f t="shared" si="9"/>
        <v>2891.84</v>
      </c>
      <c r="U46" s="6">
        <f t="shared" si="9"/>
        <v>3141.84</v>
      </c>
      <c r="V46" s="59">
        <f t="shared" si="9"/>
        <v>3391.84</v>
      </c>
      <c r="W46" s="6">
        <f t="shared" si="9"/>
        <v>3641.84</v>
      </c>
      <c r="X46" s="6">
        <f t="shared" si="9"/>
        <v>3891.84</v>
      </c>
      <c r="Y46" s="6">
        <f t="shared" si="9"/>
        <v>4141.84</v>
      </c>
      <c r="Z46" s="6">
        <f t="shared" si="9"/>
        <v>4391.84</v>
      </c>
    </row>
    <row r="47" spans="1:26" ht="13.5" customHeight="1" thickBot="1" x14ac:dyDescent="0.3">
      <c r="A47" s="48"/>
      <c r="B47" s="41"/>
      <c r="C47" s="41"/>
      <c r="D47" s="70" t="s">
        <v>25</v>
      </c>
      <c r="E47" s="8">
        <f>E48-0.5</f>
        <v>3.5</v>
      </c>
      <c r="F47" s="9">
        <f t="shared" ref="F47:N51" si="10">F$33-($B$46/$E47)</f>
        <v>-5101.429838450219</v>
      </c>
      <c r="G47" s="9">
        <f t="shared" si="10"/>
        <v>-4851.429838450219</v>
      </c>
      <c r="H47" s="9">
        <f t="shared" si="10"/>
        <v>-4601.429838450219</v>
      </c>
      <c r="I47" s="9">
        <f t="shared" si="10"/>
        <v>-4351.429838450219</v>
      </c>
      <c r="J47" s="9">
        <f t="shared" si="10"/>
        <v>-4101.429838450219</v>
      </c>
      <c r="K47" s="9">
        <f t="shared" si="10"/>
        <v>-3851.429838450219</v>
      </c>
      <c r="L47" s="9">
        <f t="shared" si="10"/>
        <v>-3601.429838450219</v>
      </c>
      <c r="M47" s="9">
        <f t="shared" si="10"/>
        <v>-3351.429838450219</v>
      </c>
      <c r="N47" s="9">
        <f t="shared" si="10"/>
        <v>-3101.429838450219</v>
      </c>
      <c r="P47" s="70" t="s">
        <v>25</v>
      </c>
      <c r="Q47" s="8">
        <f>Q48-0.5</f>
        <v>3.5</v>
      </c>
      <c r="R47" s="9">
        <f>R$33-($B$44/$E47)</f>
        <v>-2913.3841241645041</v>
      </c>
      <c r="S47" s="9">
        <f t="shared" ref="S47:Z47" si="11">S$33-($B$44/$E47)</f>
        <v>-2663.3841241645041</v>
      </c>
      <c r="T47" s="9">
        <f t="shared" si="11"/>
        <v>-2413.3841241645041</v>
      </c>
      <c r="U47" s="9">
        <f t="shared" si="11"/>
        <v>-2163.3841241645041</v>
      </c>
      <c r="V47" s="9">
        <f t="shared" si="11"/>
        <v>-1913.3841241645041</v>
      </c>
      <c r="W47" s="9">
        <f t="shared" si="11"/>
        <v>-1663.3841241645041</v>
      </c>
      <c r="X47" s="9">
        <f t="shared" si="11"/>
        <v>-1413.3841241645041</v>
      </c>
      <c r="Y47" s="9">
        <f t="shared" si="11"/>
        <v>-1163.3841241645041</v>
      </c>
      <c r="Z47" s="9">
        <f t="shared" si="11"/>
        <v>-913.3841241645041</v>
      </c>
    </row>
    <row r="48" spans="1:26" ht="13.5" customHeight="1" thickBot="1" x14ac:dyDescent="0.3">
      <c r="A48" s="48" t="s">
        <v>26</v>
      </c>
      <c r="B48" s="64">
        <f>'W-BT Mielies '!F5</f>
        <v>4.5</v>
      </c>
      <c r="C48" s="41"/>
      <c r="D48" s="71"/>
      <c r="E48" s="8">
        <f>E49-0.5</f>
        <v>4</v>
      </c>
      <c r="F48" s="9">
        <f t="shared" si="10"/>
        <v>-4164.7711086439413</v>
      </c>
      <c r="G48" s="9">
        <f t="shared" si="10"/>
        <v>-3914.7711086439413</v>
      </c>
      <c r="H48" s="9">
        <f t="shared" si="10"/>
        <v>-3664.7711086439413</v>
      </c>
      <c r="I48" s="9">
        <f t="shared" si="10"/>
        <v>-3414.7711086439413</v>
      </c>
      <c r="J48" s="9">
        <f t="shared" si="10"/>
        <v>-3164.7711086439413</v>
      </c>
      <c r="K48" s="9">
        <f t="shared" si="10"/>
        <v>-2914.7711086439413</v>
      </c>
      <c r="L48" s="9">
        <f t="shared" si="10"/>
        <v>-2664.7711086439413</v>
      </c>
      <c r="M48" s="9">
        <f t="shared" si="10"/>
        <v>-2414.7711086439413</v>
      </c>
      <c r="N48" s="9">
        <f t="shared" si="10"/>
        <v>-2164.7711086439413</v>
      </c>
      <c r="P48" s="71"/>
      <c r="Q48" s="8">
        <f>Q49-0.5</f>
        <v>4</v>
      </c>
      <c r="R48" s="9">
        <f t="shared" ref="R48:Z51" si="12">R$33-($B$44/$E48)</f>
        <v>-2250.2311086439413</v>
      </c>
      <c r="S48" s="9">
        <f t="shared" si="12"/>
        <v>-2000.2311086439413</v>
      </c>
      <c r="T48" s="9">
        <f t="shared" si="12"/>
        <v>-1750.2311086439413</v>
      </c>
      <c r="U48" s="9">
        <f t="shared" si="12"/>
        <v>-1500.2311086439413</v>
      </c>
      <c r="V48" s="9">
        <f t="shared" si="12"/>
        <v>-1250.2311086439413</v>
      </c>
      <c r="W48" s="9">
        <f t="shared" si="12"/>
        <v>-1000.2311086439413</v>
      </c>
      <c r="X48" s="9">
        <f t="shared" si="12"/>
        <v>-750.2311086439413</v>
      </c>
      <c r="Y48" s="9">
        <f t="shared" si="12"/>
        <v>-500.2311086439413</v>
      </c>
      <c r="Z48" s="9">
        <f t="shared" si="12"/>
        <v>-250.2311086439413</v>
      </c>
    </row>
    <row r="49" spans="1:26" ht="13.5" customHeight="1" thickBot="1" x14ac:dyDescent="0.3">
      <c r="A49" s="48"/>
      <c r="B49" s="41"/>
      <c r="C49" s="41"/>
      <c r="D49" s="71"/>
      <c r="E49" s="65">
        <f>B48</f>
        <v>4.5</v>
      </c>
      <c r="F49" s="9">
        <f t="shared" si="10"/>
        <v>-3436.2587632390587</v>
      </c>
      <c r="G49" s="9">
        <f t="shared" si="10"/>
        <v>-3186.2587632390587</v>
      </c>
      <c r="H49" s="9">
        <f t="shared" si="10"/>
        <v>-2936.2587632390587</v>
      </c>
      <c r="I49" s="9">
        <f>I$33-($B$46/$E49)</f>
        <v>-2686.2587632390587</v>
      </c>
      <c r="J49" s="9">
        <f>J$33-($B$46/$E49)</f>
        <v>-2436.2587632390587</v>
      </c>
      <c r="K49" s="9">
        <f t="shared" si="10"/>
        <v>-2186.2587632390587</v>
      </c>
      <c r="L49" s="9">
        <f t="shared" si="10"/>
        <v>-1936.2587632390587</v>
      </c>
      <c r="M49" s="9">
        <f t="shared" si="10"/>
        <v>-1686.2587632390587</v>
      </c>
      <c r="N49" s="9">
        <f t="shared" si="10"/>
        <v>-1436.2587632390587</v>
      </c>
      <c r="P49" s="71"/>
      <c r="Q49" s="65">
        <f>E49</f>
        <v>4.5</v>
      </c>
      <c r="R49" s="9">
        <f t="shared" si="12"/>
        <v>-1734.4454299057252</v>
      </c>
      <c r="S49" s="9">
        <f t="shared" si="12"/>
        <v>-1484.4454299057252</v>
      </c>
      <c r="T49" s="9">
        <f t="shared" si="12"/>
        <v>-1234.4454299057252</v>
      </c>
      <c r="U49" s="9">
        <f t="shared" si="12"/>
        <v>-984.44542990572518</v>
      </c>
      <c r="V49" s="9">
        <f t="shared" si="12"/>
        <v>-734.44542990572518</v>
      </c>
      <c r="W49" s="9">
        <f t="shared" si="12"/>
        <v>-484.44542990572518</v>
      </c>
      <c r="X49" s="9">
        <f t="shared" si="12"/>
        <v>-234.44542990572518</v>
      </c>
      <c r="Y49" s="9">
        <f t="shared" si="12"/>
        <v>15.554570094274823</v>
      </c>
      <c r="Z49" s="9">
        <f t="shared" si="12"/>
        <v>265.55457009427482</v>
      </c>
    </row>
    <row r="50" spans="1:26" ht="13.5" customHeight="1" thickBot="1" x14ac:dyDescent="0.3">
      <c r="A50" s="48" t="s">
        <v>176</v>
      </c>
      <c r="B50" s="54">
        <f>B4</f>
        <v>3800</v>
      </c>
      <c r="C50" s="41"/>
      <c r="D50" s="71"/>
      <c r="E50" s="8">
        <f>E49+0.5</f>
        <v>5</v>
      </c>
      <c r="F50" s="9">
        <f t="shared" si="10"/>
        <v>-2853.4488869151528</v>
      </c>
      <c r="G50" s="9">
        <f t="shared" si="10"/>
        <v>-2603.4488869151528</v>
      </c>
      <c r="H50" s="9">
        <f t="shared" si="10"/>
        <v>-2353.4488869151528</v>
      </c>
      <c r="I50" s="9">
        <f t="shared" si="10"/>
        <v>-2103.4488869151528</v>
      </c>
      <c r="J50" s="9">
        <f t="shared" si="10"/>
        <v>-1853.4488869151528</v>
      </c>
      <c r="K50" s="9">
        <f t="shared" si="10"/>
        <v>-1603.4488869151528</v>
      </c>
      <c r="L50" s="9">
        <f t="shared" si="10"/>
        <v>-1353.4488869151528</v>
      </c>
      <c r="M50" s="9">
        <f t="shared" si="10"/>
        <v>-1103.4488869151528</v>
      </c>
      <c r="N50" s="9">
        <f t="shared" si="10"/>
        <v>-853.4488869151528</v>
      </c>
      <c r="P50" s="71"/>
      <c r="Q50" s="8">
        <f>Q49+0.5</f>
        <v>5</v>
      </c>
      <c r="R50" s="9">
        <f t="shared" si="12"/>
        <v>-1321.8168869151532</v>
      </c>
      <c r="S50" s="9">
        <f t="shared" si="12"/>
        <v>-1071.8168869151532</v>
      </c>
      <c r="T50" s="9">
        <f t="shared" si="12"/>
        <v>-821.81688691515319</v>
      </c>
      <c r="U50" s="9">
        <f t="shared" si="12"/>
        <v>-571.81688691515319</v>
      </c>
      <c r="V50" s="9">
        <f t="shared" si="12"/>
        <v>-321.81688691515319</v>
      </c>
      <c r="W50" s="9">
        <f t="shared" si="12"/>
        <v>-71.816886915153191</v>
      </c>
      <c r="X50" s="9">
        <f t="shared" si="12"/>
        <v>178.18311308484681</v>
      </c>
      <c r="Y50" s="9">
        <f t="shared" si="12"/>
        <v>428.18311308484681</v>
      </c>
      <c r="Z50" s="9">
        <f t="shared" si="12"/>
        <v>678.18311308484681</v>
      </c>
    </row>
    <row r="51" spans="1:26" ht="13.5" customHeight="1" thickBot="1" x14ac:dyDescent="0.3">
      <c r="A51" s="50" t="s">
        <v>27</v>
      </c>
      <c r="B51" s="55">
        <f>D4</f>
        <v>408.16</v>
      </c>
      <c r="C51" s="41"/>
      <c r="D51" s="72"/>
      <c r="E51" s="8">
        <f>E50+0.5</f>
        <v>5.5</v>
      </c>
      <c r="F51" s="9">
        <f>F$33-($B$46/$E51)</f>
        <v>-2376.6044426501394</v>
      </c>
      <c r="G51" s="9">
        <f t="shared" si="10"/>
        <v>-2126.6044426501394</v>
      </c>
      <c r="H51" s="9">
        <f t="shared" si="10"/>
        <v>-1876.6044426501394</v>
      </c>
      <c r="I51" s="9">
        <f t="shared" si="10"/>
        <v>-1626.6044426501394</v>
      </c>
      <c r="J51" s="9">
        <f t="shared" si="10"/>
        <v>-1376.6044426501394</v>
      </c>
      <c r="K51" s="9">
        <f t="shared" si="10"/>
        <v>-1126.6044426501394</v>
      </c>
      <c r="L51" s="9">
        <f t="shared" si="10"/>
        <v>-876.60444265013939</v>
      </c>
      <c r="M51" s="9">
        <f t="shared" si="10"/>
        <v>-626.60444265013939</v>
      </c>
      <c r="N51" s="9">
        <f>N$33-($B$46/$E51)</f>
        <v>-376.60444265013939</v>
      </c>
      <c r="P51" s="72"/>
      <c r="Q51" s="8">
        <f>Q50+0.5</f>
        <v>5.5</v>
      </c>
      <c r="R51" s="9">
        <f t="shared" si="12"/>
        <v>-984.21171537741202</v>
      </c>
      <c r="S51" s="9">
        <f t="shared" si="12"/>
        <v>-734.21171537741202</v>
      </c>
      <c r="T51" s="9">
        <f t="shared" si="12"/>
        <v>-484.21171537741202</v>
      </c>
      <c r="U51" s="9">
        <f t="shared" si="12"/>
        <v>-234.21171537741202</v>
      </c>
      <c r="V51" s="9">
        <f t="shared" si="12"/>
        <v>15.78828462258798</v>
      </c>
      <c r="W51" s="9">
        <f t="shared" si="12"/>
        <v>265.78828462258798</v>
      </c>
      <c r="X51" s="9">
        <f t="shared" si="12"/>
        <v>515.78828462258798</v>
      </c>
      <c r="Y51" s="9">
        <f t="shared" si="12"/>
        <v>765.78828462258798</v>
      </c>
      <c r="Z51" s="9">
        <f t="shared" si="12"/>
        <v>1015.788284622588</v>
      </c>
    </row>
    <row r="52" spans="1:26" ht="13.5" customHeight="1" x14ac:dyDescent="0.25">
      <c r="A52" s="43" t="s">
        <v>28</v>
      </c>
      <c r="B52" s="56">
        <f>B50-B51</f>
        <v>3391.84</v>
      </c>
      <c r="C52" s="41"/>
      <c r="D52" s="21"/>
      <c r="E52" s="22"/>
      <c r="F52" s="23"/>
      <c r="G52" s="23"/>
      <c r="H52" s="23"/>
      <c r="I52" s="23"/>
      <c r="J52" s="23"/>
      <c r="K52" s="23"/>
      <c r="L52" s="23"/>
      <c r="P52" s="21"/>
      <c r="Q52" s="22"/>
      <c r="R52" s="23"/>
      <c r="S52" s="23"/>
      <c r="T52" s="23"/>
      <c r="U52" s="23"/>
      <c r="V52" s="23"/>
      <c r="W52" s="23"/>
      <c r="X52" s="23"/>
    </row>
    <row r="53" spans="1:26" ht="13.5" customHeight="1" x14ac:dyDescent="0.25">
      <c r="A53" s="43"/>
      <c r="B53" s="42"/>
      <c r="C53" s="41"/>
      <c r="D53" s="21"/>
      <c r="E53" s="22"/>
      <c r="F53" s="23"/>
      <c r="G53" s="23"/>
      <c r="H53" s="23"/>
      <c r="I53" s="23"/>
      <c r="J53" s="23"/>
      <c r="K53" s="23"/>
      <c r="L53" s="23"/>
      <c r="P53" s="21"/>
      <c r="Q53" s="22"/>
      <c r="R53" s="23"/>
      <c r="S53" s="23"/>
      <c r="T53" s="23"/>
      <c r="U53" s="23"/>
      <c r="V53" s="23"/>
      <c r="W53" s="23"/>
      <c r="X53" s="23"/>
    </row>
    <row r="54" spans="1:26" ht="13.5" customHeight="1" x14ac:dyDescent="0.25">
      <c r="A54" s="43"/>
      <c r="B54" s="42"/>
      <c r="C54" s="41"/>
      <c r="D54" s="21"/>
      <c r="E54" s="22"/>
      <c r="F54" s="23"/>
      <c r="G54" s="23"/>
      <c r="H54" s="23"/>
      <c r="I54" s="23"/>
      <c r="J54" s="23"/>
      <c r="K54" s="23"/>
      <c r="L54" s="23"/>
      <c r="P54" s="21"/>
      <c r="Q54" s="22"/>
      <c r="R54" s="23"/>
      <c r="S54" s="23"/>
      <c r="T54" s="23"/>
      <c r="U54" s="23"/>
      <c r="V54" s="23"/>
      <c r="W54" s="23"/>
      <c r="X54" s="23"/>
    </row>
    <row r="55" spans="1:26" ht="13.5" customHeight="1" x14ac:dyDescent="0.25">
      <c r="A55" s="43"/>
      <c r="B55" s="42"/>
      <c r="C55" s="41"/>
      <c r="D55" s="21"/>
      <c r="E55" s="22"/>
      <c r="F55" s="23"/>
      <c r="G55" s="23"/>
      <c r="H55" s="23"/>
      <c r="I55" s="23"/>
      <c r="J55" s="23"/>
      <c r="K55" s="23"/>
      <c r="L55" s="23"/>
      <c r="P55" s="21"/>
      <c r="Q55" s="22"/>
      <c r="R55" s="23"/>
      <c r="S55" s="23"/>
      <c r="T55" s="23"/>
      <c r="U55" s="23"/>
      <c r="V55" s="23"/>
      <c r="W55" s="23"/>
      <c r="X55" s="23"/>
    </row>
    <row r="56" spans="1:26" ht="13.5" customHeight="1" thickBot="1" x14ac:dyDescent="0.3">
      <c r="A56" s="68"/>
      <c r="B56" s="68"/>
      <c r="D56" s="21"/>
      <c r="E56" s="22"/>
      <c r="F56" s="23"/>
      <c r="G56" s="23"/>
      <c r="H56" s="23"/>
      <c r="I56" s="23"/>
      <c r="J56" s="23"/>
      <c r="K56" s="23"/>
      <c r="L56" s="23"/>
      <c r="P56" s="21"/>
      <c r="Q56" s="22"/>
      <c r="R56" s="23"/>
      <c r="S56" s="23"/>
      <c r="T56" s="23"/>
      <c r="U56" s="23"/>
      <c r="V56" s="23"/>
      <c r="W56" s="23"/>
      <c r="X56" s="23"/>
    </row>
    <row r="57" spans="1:26" ht="18.75" customHeight="1" thickBot="1" x14ac:dyDescent="0.3">
      <c r="A57" s="69" t="s">
        <v>31</v>
      </c>
      <c r="B57" s="69"/>
      <c r="C57" s="40"/>
      <c r="D57" s="73" t="s">
        <v>32</v>
      </c>
      <c r="E57" s="74"/>
      <c r="F57" s="74"/>
      <c r="G57" s="74"/>
      <c r="H57" s="74"/>
      <c r="I57" s="74"/>
      <c r="J57" s="74"/>
      <c r="K57" s="74"/>
      <c r="L57" s="74"/>
      <c r="M57" s="74"/>
      <c r="N57" s="75"/>
      <c r="P57" s="73" t="s">
        <v>33</v>
      </c>
      <c r="Q57" s="74"/>
      <c r="R57" s="74"/>
      <c r="S57" s="74"/>
      <c r="T57" s="74"/>
      <c r="U57" s="74"/>
      <c r="V57" s="74"/>
      <c r="W57" s="74"/>
      <c r="X57" s="74"/>
      <c r="Y57" s="74"/>
      <c r="Z57" s="75"/>
    </row>
    <row r="58" spans="1:26" ht="13.5" customHeight="1" thickBot="1" x14ac:dyDescent="0.3">
      <c r="A58" s="48" t="s">
        <v>19</v>
      </c>
      <c r="B58" s="54">
        <f>Sonneblom!F25</f>
        <v>10595.19931547094</v>
      </c>
      <c r="C58" s="41"/>
      <c r="D58" s="3"/>
      <c r="E58" s="4"/>
      <c r="F58" s="59"/>
      <c r="G58" s="5"/>
      <c r="H58" s="59"/>
      <c r="I58" s="59"/>
      <c r="J58" s="59" t="s">
        <v>20</v>
      </c>
      <c r="K58" s="60"/>
      <c r="L58" s="59"/>
      <c r="M58" s="60"/>
      <c r="N58" s="59"/>
      <c r="P58" s="3"/>
      <c r="Q58" s="4"/>
      <c r="R58" s="59"/>
      <c r="S58" s="5"/>
      <c r="T58" s="59"/>
      <c r="U58" s="59"/>
      <c r="V58" s="59" t="s">
        <v>20</v>
      </c>
      <c r="W58" s="60"/>
      <c r="X58" s="59"/>
      <c r="Y58" s="60"/>
      <c r="Z58" s="59"/>
    </row>
    <row r="59" spans="1:26" ht="13.5" customHeight="1" thickBot="1" x14ac:dyDescent="0.3">
      <c r="A59" s="48" t="s">
        <v>21</v>
      </c>
      <c r="B59" s="55">
        <f>Sonneblom!F27</f>
        <v>6336.2800000000007</v>
      </c>
      <c r="C59" s="41"/>
      <c r="D59" s="73" t="s">
        <v>22</v>
      </c>
      <c r="E59" s="75"/>
      <c r="F59" s="24">
        <f>G59-200</f>
        <v>9200</v>
      </c>
      <c r="G59" s="24">
        <f>H59-200</f>
        <v>9400</v>
      </c>
      <c r="H59" s="24">
        <f>I59-200</f>
        <v>9600</v>
      </c>
      <c r="I59" s="25">
        <f>J59-200</f>
        <v>9800</v>
      </c>
      <c r="J59" s="66">
        <f>B64</f>
        <v>10000</v>
      </c>
      <c r="K59" s="25">
        <f>J59+200</f>
        <v>10200</v>
      </c>
      <c r="L59" s="25">
        <f>K59+200</f>
        <v>10400</v>
      </c>
      <c r="M59" s="25">
        <f>L59+200</f>
        <v>10600</v>
      </c>
      <c r="N59" s="25">
        <f>M59+200</f>
        <v>10800</v>
      </c>
      <c r="P59" s="73" t="s">
        <v>22</v>
      </c>
      <c r="Q59" s="75"/>
      <c r="R59" s="24">
        <f>S59-200</f>
        <v>9200</v>
      </c>
      <c r="S59" s="24">
        <f>T59-200</f>
        <v>9400</v>
      </c>
      <c r="T59" s="24">
        <f>U59-200</f>
        <v>9600</v>
      </c>
      <c r="U59" s="25">
        <f>V59-200</f>
        <v>9800</v>
      </c>
      <c r="V59" s="66">
        <f>J59</f>
        <v>10000</v>
      </c>
      <c r="W59" s="25">
        <f>V59+200</f>
        <v>10200</v>
      </c>
      <c r="X59" s="25">
        <f>W59+200</f>
        <v>10400</v>
      </c>
      <c r="Y59" s="25">
        <f>X59+200</f>
        <v>10600</v>
      </c>
      <c r="Z59" s="25">
        <f>Y59+200</f>
        <v>10800</v>
      </c>
    </row>
    <row r="60" spans="1:26" ht="13.5" customHeight="1" thickBot="1" x14ac:dyDescent="0.3">
      <c r="A60" s="49" t="s">
        <v>23</v>
      </c>
      <c r="B60" s="56">
        <f>B59+B58</f>
        <v>16931.47931547094</v>
      </c>
      <c r="C60" s="42"/>
      <c r="D60" s="76" t="s">
        <v>24</v>
      </c>
      <c r="E60" s="77"/>
      <c r="F60" s="26">
        <f t="shared" ref="F60:N60" si="13">F59-$B$65</f>
        <v>8726.73</v>
      </c>
      <c r="G60" s="26">
        <f t="shared" si="13"/>
        <v>8926.73</v>
      </c>
      <c r="H60" s="26">
        <f t="shared" si="13"/>
        <v>9126.73</v>
      </c>
      <c r="I60" s="26">
        <f t="shared" si="13"/>
        <v>9326.73</v>
      </c>
      <c r="J60" s="67">
        <f t="shared" si="13"/>
        <v>9526.73</v>
      </c>
      <c r="K60" s="26">
        <f t="shared" si="13"/>
        <v>9726.73</v>
      </c>
      <c r="L60" s="26">
        <f t="shared" si="13"/>
        <v>9926.73</v>
      </c>
      <c r="M60" s="26">
        <f t="shared" si="13"/>
        <v>10126.73</v>
      </c>
      <c r="N60" s="26">
        <f t="shared" si="13"/>
        <v>10326.73</v>
      </c>
      <c r="P60" s="76" t="s">
        <v>24</v>
      </c>
      <c r="Q60" s="77"/>
      <c r="R60" s="26">
        <f t="shared" ref="R60:Z60" si="14">R59-$B$65</f>
        <v>8726.73</v>
      </c>
      <c r="S60" s="26">
        <f t="shared" si="14"/>
        <v>8926.73</v>
      </c>
      <c r="T60" s="26">
        <f t="shared" si="14"/>
        <v>9126.73</v>
      </c>
      <c r="U60" s="26">
        <f t="shared" si="14"/>
        <v>9326.73</v>
      </c>
      <c r="V60" s="67">
        <f t="shared" si="14"/>
        <v>9526.73</v>
      </c>
      <c r="W60" s="26">
        <f t="shared" si="14"/>
        <v>9726.73</v>
      </c>
      <c r="X60" s="26">
        <f t="shared" si="14"/>
        <v>9926.73</v>
      </c>
      <c r="Y60" s="26">
        <f t="shared" si="14"/>
        <v>10126.73</v>
      </c>
      <c r="Z60" s="26">
        <f t="shared" si="14"/>
        <v>10326.73</v>
      </c>
    </row>
    <row r="61" spans="1:26" ht="13.5" customHeight="1" thickBot="1" x14ac:dyDescent="0.3">
      <c r="A61" s="48"/>
      <c r="B61" s="41"/>
      <c r="C61" s="41"/>
      <c r="D61" s="70" t="s">
        <v>25</v>
      </c>
      <c r="E61" s="8">
        <f>E62-0.25</f>
        <v>1</v>
      </c>
      <c r="F61" s="9">
        <f t="shared" ref="F61:N65" si="15">F$60-($B$60/$E61)</f>
        <v>-8204.7493154709409</v>
      </c>
      <c r="G61" s="9">
        <f t="shared" si="15"/>
        <v>-8004.7493154709409</v>
      </c>
      <c r="H61" s="9">
        <f t="shared" si="15"/>
        <v>-7804.7493154709409</v>
      </c>
      <c r="I61" s="9">
        <f t="shared" si="15"/>
        <v>-7604.7493154709409</v>
      </c>
      <c r="J61" s="9">
        <f t="shared" si="15"/>
        <v>-7404.7493154709409</v>
      </c>
      <c r="K61" s="9">
        <f t="shared" si="15"/>
        <v>-7204.7493154709409</v>
      </c>
      <c r="L61" s="9">
        <f t="shared" si="15"/>
        <v>-7004.7493154709409</v>
      </c>
      <c r="M61" s="9">
        <f t="shared" si="15"/>
        <v>-6804.7493154709409</v>
      </c>
      <c r="N61" s="9">
        <f t="shared" si="15"/>
        <v>-6604.7493154709409</v>
      </c>
      <c r="P61" s="70" t="s">
        <v>25</v>
      </c>
      <c r="Q61" s="8">
        <f>Q62-0.25</f>
        <v>1</v>
      </c>
      <c r="R61" s="9">
        <f t="shared" ref="R61:Z65" si="16">R$60-($B$58/$E61)</f>
        <v>-1868.4693154709403</v>
      </c>
      <c r="S61" s="9">
        <f t="shared" si="16"/>
        <v>-1668.4693154709403</v>
      </c>
      <c r="T61" s="9">
        <f t="shared" si="16"/>
        <v>-1468.4693154709403</v>
      </c>
      <c r="U61" s="9">
        <f t="shared" si="16"/>
        <v>-1268.4693154709403</v>
      </c>
      <c r="V61" s="9">
        <f t="shared" si="16"/>
        <v>-1068.4693154709403</v>
      </c>
      <c r="W61" s="9">
        <f t="shared" si="16"/>
        <v>-868.46931547094027</v>
      </c>
      <c r="X61" s="9">
        <f t="shared" si="16"/>
        <v>-668.46931547094027</v>
      </c>
      <c r="Y61" s="9">
        <f t="shared" si="16"/>
        <v>-468.46931547094027</v>
      </c>
      <c r="Z61" s="9">
        <f t="shared" si="16"/>
        <v>-268.46931547094027</v>
      </c>
    </row>
    <row r="62" spans="1:26" ht="13.5" customHeight="1" thickBot="1" x14ac:dyDescent="0.3">
      <c r="A62" s="48" t="s">
        <v>26</v>
      </c>
      <c r="B62" s="64">
        <v>1.5</v>
      </c>
      <c r="C62" s="41"/>
      <c r="D62" s="71"/>
      <c r="E62" s="8">
        <f>E63-0.25</f>
        <v>1.25</v>
      </c>
      <c r="F62" s="9">
        <f t="shared" si="15"/>
        <v>-4818.4534523767525</v>
      </c>
      <c r="G62" s="9">
        <f t="shared" si="15"/>
        <v>-4618.4534523767525</v>
      </c>
      <c r="H62" s="9">
        <f t="shared" si="15"/>
        <v>-4418.4534523767525</v>
      </c>
      <c r="I62" s="9">
        <f t="shared" si="15"/>
        <v>-4218.4534523767525</v>
      </c>
      <c r="J62" s="9">
        <f t="shared" si="15"/>
        <v>-4018.4534523767525</v>
      </c>
      <c r="K62" s="9">
        <f t="shared" si="15"/>
        <v>-3818.4534523767525</v>
      </c>
      <c r="L62" s="9">
        <f t="shared" si="15"/>
        <v>-3618.4534523767525</v>
      </c>
      <c r="M62" s="9">
        <f t="shared" si="15"/>
        <v>-3418.4534523767525</v>
      </c>
      <c r="N62" s="9">
        <f t="shared" si="15"/>
        <v>-3218.4534523767525</v>
      </c>
      <c r="P62" s="71"/>
      <c r="Q62" s="8">
        <f>Q63-0.25</f>
        <v>1.25</v>
      </c>
      <c r="R62" s="9">
        <f t="shared" si="16"/>
        <v>250.57054762324697</v>
      </c>
      <c r="S62" s="9">
        <f t="shared" si="16"/>
        <v>450.57054762324697</v>
      </c>
      <c r="T62" s="9">
        <f t="shared" si="16"/>
        <v>650.57054762324697</v>
      </c>
      <c r="U62" s="9">
        <f t="shared" si="16"/>
        <v>850.57054762324697</v>
      </c>
      <c r="V62" s="9">
        <f t="shared" si="16"/>
        <v>1050.570547623247</v>
      </c>
      <c r="W62" s="9">
        <f t="shared" si="16"/>
        <v>1250.570547623247</v>
      </c>
      <c r="X62" s="9">
        <f t="shared" si="16"/>
        <v>1450.570547623247</v>
      </c>
      <c r="Y62" s="9">
        <f t="shared" si="16"/>
        <v>1650.570547623247</v>
      </c>
      <c r="Z62" s="9">
        <f t="shared" si="16"/>
        <v>1850.570547623247</v>
      </c>
    </row>
    <row r="63" spans="1:26" ht="13.5" customHeight="1" thickBot="1" x14ac:dyDescent="0.3">
      <c r="A63" s="48"/>
      <c r="B63" s="41"/>
      <c r="C63" s="41"/>
      <c r="D63" s="71"/>
      <c r="E63" s="65">
        <f>B62</f>
        <v>1.5</v>
      </c>
      <c r="F63" s="9">
        <f t="shared" si="15"/>
        <v>-2560.9228769806268</v>
      </c>
      <c r="G63" s="9">
        <f t="shared" si="15"/>
        <v>-2360.9228769806268</v>
      </c>
      <c r="H63" s="9">
        <f t="shared" si="15"/>
        <v>-2160.9228769806268</v>
      </c>
      <c r="I63" s="9">
        <f t="shared" si="15"/>
        <v>-1960.9228769806268</v>
      </c>
      <c r="J63" s="58">
        <f t="shared" si="15"/>
        <v>-1760.9228769806268</v>
      </c>
      <c r="K63" s="9">
        <f t="shared" si="15"/>
        <v>-1560.9228769806268</v>
      </c>
      <c r="L63" s="9">
        <f>L$60-($B$60/$E63)</f>
        <v>-1360.9228769806268</v>
      </c>
      <c r="M63" s="9">
        <f t="shared" si="15"/>
        <v>-1160.9228769806268</v>
      </c>
      <c r="N63" s="9">
        <f t="shared" si="15"/>
        <v>-960.92287698062682</v>
      </c>
      <c r="P63" s="71"/>
      <c r="Q63" s="65">
        <f>E63</f>
        <v>1.5</v>
      </c>
      <c r="R63" s="9">
        <f t="shared" si="16"/>
        <v>1663.2637896860397</v>
      </c>
      <c r="S63" s="9">
        <f t="shared" si="16"/>
        <v>1863.2637896860397</v>
      </c>
      <c r="T63" s="9">
        <f t="shared" si="16"/>
        <v>2063.2637896860397</v>
      </c>
      <c r="U63" s="9">
        <f t="shared" si="16"/>
        <v>2263.2637896860397</v>
      </c>
      <c r="V63" s="9">
        <f t="shared" si="16"/>
        <v>2463.2637896860397</v>
      </c>
      <c r="W63" s="9">
        <f t="shared" si="16"/>
        <v>2663.2637896860397</v>
      </c>
      <c r="X63" s="9">
        <f t="shared" si="16"/>
        <v>2863.2637896860397</v>
      </c>
      <c r="Y63" s="9">
        <f t="shared" si="16"/>
        <v>3063.2637896860397</v>
      </c>
      <c r="Z63" s="9">
        <f t="shared" si="16"/>
        <v>3263.2637896860397</v>
      </c>
    </row>
    <row r="64" spans="1:26" ht="13.5" customHeight="1" thickBot="1" x14ac:dyDescent="0.3">
      <c r="A64" s="48" t="s">
        <v>177</v>
      </c>
      <c r="B64" s="54">
        <f>B5</f>
        <v>10000</v>
      </c>
      <c r="C64" s="41"/>
      <c r="D64" s="71"/>
      <c r="E64" s="8">
        <f>E63+0.25</f>
        <v>1.75</v>
      </c>
      <c r="F64" s="9">
        <f t="shared" si="15"/>
        <v>-948.40103741196617</v>
      </c>
      <c r="G64" s="9">
        <f t="shared" si="15"/>
        <v>-748.40103741196617</v>
      </c>
      <c r="H64" s="9">
        <f t="shared" si="15"/>
        <v>-548.40103741196617</v>
      </c>
      <c r="I64" s="9">
        <f t="shared" si="15"/>
        <v>-348.40103741196617</v>
      </c>
      <c r="J64" s="9">
        <f t="shared" si="15"/>
        <v>-148.40103741196617</v>
      </c>
      <c r="K64" s="9">
        <f t="shared" si="15"/>
        <v>51.598962588033828</v>
      </c>
      <c r="L64" s="9">
        <f t="shared" si="15"/>
        <v>251.59896258803383</v>
      </c>
      <c r="M64" s="9">
        <f t="shared" si="15"/>
        <v>451.59896258803383</v>
      </c>
      <c r="N64" s="9">
        <f t="shared" si="15"/>
        <v>651.59896258803383</v>
      </c>
      <c r="P64" s="71"/>
      <c r="Q64" s="8">
        <f>Q63+0.25</f>
        <v>1.75</v>
      </c>
      <c r="R64" s="9">
        <f t="shared" si="16"/>
        <v>2672.3303911594621</v>
      </c>
      <c r="S64" s="9">
        <f t="shared" si="16"/>
        <v>2872.3303911594621</v>
      </c>
      <c r="T64" s="9">
        <f t="shared" si="16"/>
        <v>3072.3303911594621</v>
      </c>
      <c r="U64" s="9">
        <f t="shared" si="16"/>
        <v>3272.3303911594621</v>
      </c>
      <c r="V64" s="9">
        <f t="shared" si="16"/>
        <v>3472.3303911594621</v>
      </c>
      <c r="W64" s="9">
        <f t="shared" si="16"/>
        <v>3672.3303911594621</v>
      </c>
      <c r="X64" s="9">
        <f t="shared" si="16"/>
        <v>3872.3303911594621</v>
      </c>
      <c r="Y64" s="9">
        <f t="shared" si="16"/>
        <v>4072.3303911594621</v>
      </c>
      <c r="Z64" s="9">
        <f t="shared" si="16"/>
        <v>4272.3303911594621</v>
      </c>
    </row>
    <row r="65" spans="1:26" ht="13.5" customHeight="1" thickBot="1" x14ac:dyDescent="0.3">
      <c r="A65" s="50" t="s">
        <v>27</v>
      </c>
      <c r="B65" s="55">
        <f>D5</f>
        <v>473.27</v>
      </c>
      <c r="C65" s="41"/>
      <c r="D65" s="72"/>
      <c r="E65" s="8">
        <f>E64+0.25</f>
        <v>2</v>
      </c>
      <c r="F65" s="9">
        <f>F$60-($B$60/$E65)</f>
        <v>260.99034226452932</v>
      </c>
      <c r="G65" s="9">
        <f t="shared" si="15"/>
        <v>460.99034226452932</v>
      </c>
      <c r="H65" s="9">
        <f t="shared" si="15"/>
        <v>660.99034226452932</v>
      </c>
      <c r="I65" s="9">
        <f t="shared" si="15"/>
        <v>860.99034226452932</v>
      </c>
      <c r="J65" s="9">
        <f t="shared" si="15"/>
        <v>1060.9903422645293</v>
      </c>
      <c r="K65" s="9">
        <f t="shared" si="15"/>
        <v>1260.9903422645293</v>
      </c>
      <c r="L65" s="9">
        <f t="shared" si="15"/>
        <v>1460.9903422645293</v>
      </c>
      <c r="M65" s="9">
        <f t="shared" si="15"/>
        <v>1660.9903422645293</v>
      </c>
      <c r="N65" s="9">
        <f>N$60-($B$60/$E65)</f>
        <v>1860.9903422645293</v>
      </c>
      <c r="P65" s="72"/>
      <c r="Q65" s="8">
        <f>Q64+0.25</f>
        <v>2</v>
      </c>
      <c r="R65" s="9">
        <f>R$60-($B$58/$E65)</f>
        <v>3429.1303422645296</v>
      </c>
      <c r="S65" s="9">
        <f t="shared" si="16"/>
        <v>3629.1303422645296</v>
      </c>
      <c r="T65" s="9">
        <f t="shared" si="16"/>
        <v>3829.1303422645296</v>
      </c>
      <c r="U65" s="9">
        <f t="shared" si="16"/>
        <v>4029.1303422645296</v>
      </c>
      <c r="V65" s="9">
        <f t="shared" si="16"/>
        <v>4229.1303422645296</v>
      </c>
      <c r="W65" s="9">
        <f t="shared" si="16"/>
        <v>4429.1303422645296</v>
      </c>
      <c r="X65" s="9">
        <f t="shared" si="16"/>
        <v>4629.1303422645296</v>
      </c>
      <c r="Y65" s="9">
        <f t="shared" si="16"/>
        <v>4829.1303422645296</v>
      </c>
      <c r="Z65" s="9">
        <f t="shared" si="16"/>
        <v>5029.1303422645296</v>
      </c>
    </row>
    <row r="66" spans="1:26" ht="13.5" customHeight="1" x14ac:dyDescent="0.25">
      <c r="A66" s="43" t="s">
        <v>28</v>
      </c>
      <c r="B66" s="56">
        <f>B64-B65</f>
        <v>9526.73</v>
      </c>
      <c r="C66" s="41"/>
      <c r="D66" s="21"/>
      <c r="E66" s="22"/>
      <c r="F66" s="23"/>
      <c r="G66" s="23"/>
      <c r="H66" s="23"/>
      <c r="I66" s="23"/>
      <c r="J66" s="23"/>
      <c r="K66" s="23"/>
      <c r="L66" s="23"/>
      <c r="P66" s="21"/>
      <c r="Q66" s="22"/>
      <c r="R66" s="23"/>
      <c r="S66" s="23"/>
      <c r="T66" s="23"/>
      <c r="U66" s="23"/>
      <c r="V66" s="23"/>
      <c r="W66" s="23"/>
      <c r="X66" s="23"/>
    </row>
    <row r="67" spans="1:26" ht="13.5" customHeight="1" x14ac:dyDescent="0.25">
      <c r="A67" s="43"/>
      <c r="B67" s="42"/>
      <c r="C67" s="41"/>
      <c r="D67" s="21"/>
      <c r="E67" s="22"/>
      <c r="F67" s="23"/>
      <c r="G67" s="23"/>
      <c r="H67" s="23"/>
      <c r="I67" s="23"/>
      <c r="J67" s="23"/>
      <c r="K67" s="23"/>
      <c r="L67" s="23"/>
      <c r="P67" s="21"/>
      <c r="Q67" s="22"/>
      <c r="R67" s="23"/>
      <c r="S67" s="23"/>
      <c r="T67" s="23"/>
      <c r="U67" s="23"/>
      <c r="V67" s="23"/>
      <c r="W67" s="23"/>
      <c r="X67" s="23"/>
    </row>
    <row r="68" spans="1:26" ht="13.5" customHeight="1" x14ac:dyDescent="0.25">
      <c r="D68" s="21"/>
      <c r="E68" s="22"/>
      <c r="F68" s="23"/>
      <c r="G68" s="23"/>
      <c r="H68" s="23"/>
      <c r="I68" s="23"/>
      <c r="J68" s="23"/>
      <c r="K68" s="23"/>
      <c r="L68" s="23"/>
      <c r="P68" s="21"/>
      <c r="Q68" s="22"/>
      <c r="R68" s="23"/>
      <c r="S68" s="23"/>
      <c r="T68" s="23"/>
      <c r="U68" s="23"/>
      <c r="V68" s="23"/>
      <c r="W68" s="23"/>
      <c r="X68" s="23"/>
    </row>
    <row r="69" spans="1:26" ht="13.5" customHeight="1" thickBot="1" x14ac:dyDescent="0.3">
      <c r="A69" s="68"/>
      <c r="B69" s="68"/>
    </row>
    <row r="70" spans="1:26" ht="19.5" customHeight="1" thickBot="1" x14ac:dyDescent="0.3">
      <c r="A70" s="69" t="s">
        <v>34</v>
      </c>
      <c r="B70" s="69"/>
      <c r="C70" s="40"/>
      <c r="D70" s="73" t="s">
        <v>35</v>
      </c>
      <c r="E70" s="74"/>
      <c r="F70" s="74"/>
      <c r="G70" s="74"/>
      <c r="H70" s="74"/>
      <c r="I70" s="74"/>
      <c r="J70" s="74"/>
      <c r="K70" s="74"/>
      <c r="L70" s="74"/>
      <c r="M70" s="74"/>
      <c r="N70" s="75"/>
      <c r="P70" s="73" t="s">
        <v>36</v>
      </c>
      <c r="Q70" s="74"/>
      <c r="R70" s="74"/>
      <c r="S70" s="74"/>
      <c r="T70" s="74"/>
      <c r="U70" s="74"/>
      <c r="V70" s="74"/>
      <c r="W70" s="74"/>
      <c r="X70" s="74"/>
      <c r="Y70" s="74"/>
      <c r="Z70" s="75"/>
    </row>
    <row r="71" spans="1:26" ht="13.5" customHeight="1" thickBot="1" x14ac:dyDescent="0.3">
      <c r="A71" s="48" t="s">
        <v>19</v>
      </c>
      <c r="B71" s="54">
        <f>Sojabone!G25</f>
        <v>15395.524001437616</v>
      </c>
      <c r="C71" s="44"/>
      <c r="D71" s="3"/>
      <c r="E71" s="4"/>
      <c r="F71" s="59"/>
      <c r="G71" s="5"/>
      <c r="H71" s="59"/>
      <c r="I71" s="59"/>
      <c r="J71" s="59" t="s">
        <v>37</v>
      </c>
      <c r="K71" s="60"/>
      <c r="L71" s="59"/>
      <c r="M71" s="60"/>
      <c r="N71" s="59"/>
      <c r="P71" s="3"/>
      <c r="Q71" s="4"/>
      <c r="R71" s="59"/>
      <c r="S71" s="5"/>
      <c r="T71" s="59"/>
      <c r="U71" s="59"/>
      <c r="V71" s="59" t="s">
        <v>37</v>
      </c>
      <c r="W71" s="60"/>
      <c r="X71" s="59"/>
      <c r="Y71" s="60"/>
      <c r="Z71" s="59"/>
    </row>
    <row r="72" spans="1:26" ht="13.5" customHeight="1" thickBot="1" x14ac:dyDescent="0.3">
      <c r="A72" s="48" t="s">
        <v>21</v>
      </c>
      <c r="B72" s="55">
        <f>'Crop Comparison'!F29</f>
        <v>6784.8700000000008</v>
      </c>
      <c r="C72" s="44"/>
      <c r="D72" s="73" t="s">
        <v>22</v>
      </c>
      <c r="E72" s="75"/>
      <c r="F72" s="6">
        <f>G72-200</f>
        <v>7100</v>
      </c>
      <c r="G72" s="6">
        <f>H72-200</f>
        <v>7300</v>
      </c>
      <c r="H72" s="6">
        <f>I72-200</f>
        <v>7500</v>
      </c>
      <c r="I72" s="6">
        <f>J72-200</f>
        <v>7700</v>
      </c>
      <c r="J72" s="59">
        <f>B77</f>
        <v>7900</v>
      </c>
      <c r="K72" s="6">
        <f>J72+200</f>
        <v>8100</v>
      </c>
      <c r="L72" s="6">
        <f>K72+200</f>
        <v>8300</v>
      </c>
      <c r="M72" s="6">
        <f>L72+200</f>
        <v>8500</v>
      </c>
      <c r="N72" s="6">
        <f>M72+200</f>
        <v>8700</v>
      </c>
      <c r="P72" s="73" t="s">
        <v>22</v>
      </c>
      <c r="Q72" s="75"/>
      <c r="R72" s="6">
        <f>S72-200</f>
        <v>7100</v>
      </c>
      <c r="S72" s="6">
        <f>T72-200</f>
        <v>7300</v>
      </c>
      <c r="T72" s="6">
        <f>U72-200</f>
        <v>7500</v>
      </c>
      <c r="U72" s="6">
        <f>V72-200</f>
        <v>7700</v>
      </c>
      <c r="V72" s="59">
        <f>J72</f>
        <v>7900</v>
      </c>
      <c r="W72" s="6">
        <f>V72+200</f>
        <v>8100</v>
      </c>
      <c r="X72" s="6">
        <f>W72+200</f>
        <v>8300</v>
      </c>
      <c r="Y72" s="6">
        <f>X72+200</f>
        <v>8500</v>
      </c>
      <c r="Z72" s="6">
        <f>Y72+200</f>
        <v>8700</v>
      </c>
    </row>
    <row r="73" spans="1:26" ht="13.5" customHeight="1" thickBot="1" x14ac:dyDescent="0.3">
      <c r="A73" s="49" t="s">
        <v>23</v>
      </c>
      <c r="B73" s="56">
        <f>B72+B71</f>
        <v>22180.394001437617</v>
      </c>
      <c r="C73" s="33"/>
      <c r="D73" s="76" t="s">
        <v>24</v>
      </c>
      <c r="E73" s="77"/>
      <c r="F73" s="27">
        <f t="shared" ref="F73:N73" si="17">F72-$B$78</f>
        <v>6890.51</v>
      </c>
      <c r="G73" s="7">
        <f t="shared" si="17"/>
        <v>7090.51</v>
      </c>
      <c r="H73" s="7">
        <f t="shared" si="17"/>
        <v>7290.51</v>
      </c>
      <c r="I73" s="7">
        <f t="shared" si="17"/>
        <v>7490.51</v>
      </c>
      <c r="J73" s="62">
        <f>J72-$B$78</f>
        <v>7690.51</v>
      </c>
      <c r="K73" s="7">
        <f t="shared" si="17"/>
        <v>7890.51</v>
      </c>
      <c r="L73" s="7">
        <f t="shared" si="17"/>
        <v>8090.51</v>
      </c>
      <c r="M73" s="7">
        <f t="shared" si="17"/>
        <v>8290.51</v>
      </c>
      <c r="N73" s="7">
        <f t="shared" si="17"/>
        <v>8490.51</v>
      </c>
      <c r="P73" s="76" t="s">
        <v>24</v>
      </c>
      <c r="Q73" s="77"/>
      <c r="R73" s="7">
        <f t="shared" ref="R73:Z73" si="18">R72-$B$78</f>
        <v>6890.51</v>
      </c>
      <c r="S73" s="7">
        <f t="shared" si="18"/>
        <v>7090.51</v>
      </c>
      <c r="T73" s="7">
        <f t="shared" si="18"/>
        <v>7290.51</v>
      </c>
      <c r="U73" s="7">
        <f t="shared" si="18"/>
        <v>7490.51</v>
      </c>
      <c r="V73" s="63">
        <f t="shared" si="18"/>
        <v>7690.51</v>
      </c>
      <c r="W73" s="7">
        <f t="shared" si="18"/>
        <v>7890.51</v>
      </c>
      <c r="X73" s="7">
        <f t="shared" si="18"/>
        <v>8090.51</v>
      </c>
      <c r="Y73" s="7">
        <f t="shared" si="18"/>
        <v>8290.51</v>
      </c>
      <c r="Z73" s="7">
        <f t="shared" si="18"/>
        <v>8490.51</v>
      </c>
    </row>
    <row r="74" spans="1:26" ht="13.5" customHeight="1" thickBot="1" x14ac:dyDescent="0.3">
      <c r="A74" s="48"/>
      <c r="B74" s="41"/>
      <c r="C74" s="45"/>
      <c r="D74" s="70" t="s">
        <v>25</v>
      </c>
      <c r="E74" s="8">
        <f>E75-0.25</f>
        <v>1.5</v>
      </c>
      <c r="F74" s="9">
        <f>F$73-($B$73/$E74)</f>
        <v>-7896.4193342917442</v>
      </c>
      <c r="G74" s="10">
        <f t="shared" ref="F74:N78" si="19">G$73-($B$73/$E74)</f>
        <v>-7696.4193342917442</v>
      </c>
      <c r="H74" s="10">
        <f t="shared" si="19"/>
        <v>-7496.4193342917442</v>
      </c>
      <c r="I74" s="10">
        <f t="shared" si="19"/>
        <v>-7296.4193342917442</v>
      </c>
      <c r="J74" s="10">
        <f t="shared" si="19"/>
        <v>-7096.4193342917442</v>
      </c>
      <c r="K74" s="10">
        <f t="shared" si="19"/>
        <v>-6896.4193342917442</v>
      </c>
      <c r="L74" s="10">
        <f t="shared" si="19"/>
        <v>-6696.4193342917442</v>
      </c>
      <c r="M74" s="11">
        <f t="shared" si="19"/>
        <v>-6496.4193342917442</v>
      </c>
      <c r="N74" s="12">
        <f t="shared" si="19"/>
        <v>-6296.4193342917442</v>
      </c>
      <c r="P74" s="70" t="s">
        <v>25</v>
      </c>
      <c r="Q74" s="8">
        <f>Q75-0.25</f>
        <v>1.5</v>
      </c>
      <c r="R74" s="9">
        <f>R$73-($B$71/$E74)</f>
        <v>-3373.1726676250764</v>
      </c>
      <c r="S74" s="9">
        <f t="shared" ref="S74:Z74" si="20">S$73-($B$71/$E74)</f>
        <v>-3173.1726676250764</v>
      </c>
      <c r="T74" s="9">
        <f t="shared" si="20"/>
        <v>-2973.1726676250764</v>
      </c>
      <c r="U74" s="9">
        <f t="shared" si="20"/>
        <v>-2773.1726676250764</v>
      </c>
      <c r="V74" s="9">
        <f t="shared" si="20"/>
        <v>-2573.1726676250764</v>
      </c>
      <c r="W74" s="9">
        <f t="shared" si="20"/>
        <v>-2373.1726676250764</v>
      </c>
      <c r="X74" s="9">
        <f t="shared" si="20"/>
        <v>-2173.1726676250764</v>
      </c>
      <c r="Y74" s="9">
        <f t="shared" si="20"/>
        <v>-1973.1726676250764</v>
      </c>
      <c r="Z74" s="9">
        <f t="shared" si="20"/>
        <v>-1773.1726676250764</v>
      </c>
    </row>
    <row r="75" spans="1:26" ht="13.5" customHeight="1" thickBot="1" x14ac:dyDescent="0.3">
      <c r="A75" s="48" t="s">
        <v>26</v>
      </c>
      <c r="B75" s="64">
        <v>2</v>
      </c>
      <c r="C75" s="46"/>
      <c r="D75" s="71"/>
      <c r="E75" s="8">
        <f>E76-0.25</f>
        <v>1.75</v>
      </c>
      <c r="F75" s="13">
        <f t="shared" si="19"/>
        <v>-5784.0008579643527</v>
      </c>
      <c r="G75" s="14">
        <f t="shared" si="19"/>
        <v>-5584.0008579643527</v>
      </c>
      <c r="H75" s="14">
        <f t="shared" si="19"/>
        <v>-5384.0008579643527</v>
      </c>
      <c r="I75" s="14">
        <f t="shared" si="19"/>
        <v>-5184.0008579643527</v>
      </c>
      <c r="J75" s="14">
        <f t="shared" si="19"/>
        <v>-4984.0008579643527</v>
      </c>
      <c r="K75" s="15">
        <f t="shared" si="19"/>
        <v>-4784.0008579643527</v>
      </c>
      <c r="L75" s="15">
        <f t="shared" si="19"/>
        <v>-4584.0008579643527</v>
      </c>
      <c r="M75" s="15">
        <f t="shared" si="19"/>
        <v>-4384.0008579643527</v>
      </c>
      <c r="N75" s="16">
        <f t="shared" si="19"/>
        <v>-4184.0008579643527</v>
      </c>
      <c r="P75" s="71"/>
      <c r="Q75" s="8">
        <f>Q76-0.25</f>
        <v>1.75</v>
      </c>
      <c r="R75" s="9">
        <f t="shared" ref="R75:Z78" si="21">R$73-($B$71/$E75)</f>
        <v>-1906.9322865357808</v>
      </c>
      <c r="S75" s="9">
        <f t="shared" si="21"/>
        <v>-1706.9322865357808</v>
      </c>
      <c r="T75" s="9">
        <f t="shared" si="21"/>
        <v>-1506.9322865357808</v>
      </c>
      <c r="U75" s="9">
        <f t="shared" si="21"/>
        <v>-1306.9322865357808</v>
      </c>
      <c r="V75" s="9">
        <f t="shared" si="21"/>
        <v>-1106.9322865357808</v>
      </c>
      <c r="W75" s="9">
        <f t="shared" si="21"/>
        <v>-906.9322865357808</v>
      </c>
      <c r="X75" s="9">
        <f t="shared" si="21"/>
        <v>-706.9322865357808</v>
      </c>
      <c r="Y75" s="9">
        <f t="shared" si="21"/>
        <v>-506.9322865357808</v>
      </c>
      <c r="Z75" s="9">
        <f t="shared" si="21"/>
        <v>-306.9322865357808</v>
      </c>
    </row>
    <row r="76" spans="1:26" ht="13.5" customHeight="1" thickBot="1" x14ac:dyDescent="0.3">
      <c r="A76" s="48"/>
      <c r="B76" s="41"/>
      <c r="C76" s="45"/>
      <c r="D76" s="71"/>
      <c r="E76" s="65">
        <f>B75</f>
        <v>2</v>
      </c>
      <c r="F76" s="13">
        <f t="shared" si="19"/>
        <v>-4199.6870007188081</v>
      </c>
      <c r="G76" s="14">
        <f t="shared" si="19"/>
        <v>-3999.6870007188081</v>
      </c>
      <c r="H76" s="14">
        <f t="shared" si="19"/>
        <v>-3799.6870007188081</v>
      </c>
      <c r="I76" s="14">
        <f t="shared" si="19"/>
        <v>-3599.6870007188081</v>
      </c>
      <c r="J76" s="15">
        <f>J$73-($B$73/$E76)</f>
        <v>-3399.6870007188081</v>
      </c>
      <c r="K76" s="15">
        <f t="shared" si="19"/>
        <v>-3199.6870007188081</v>
      </c>
      <c r="L76" s="15">
        <f t="shared" si="19"/>
        <v>-2999.6870007188081</v>
      </c>
      <c r="M76" s="15">
        <f t="shared" si="19"/>
        <v>-2799.6870007188081</v>
      </c>
      <c r="N76" s="16">
        <f t="shared" si="19"/>
        <v>-2599.6870007188081</v>
      </c>
      <c r="P76" s="71"/>
      <c r="Q76" s="65">
        <f>E76</f>
        <v>2</v>
      </c>
      <c r="R76" s="9">
        <f>R$73-($B$71/$E76)</f>
        <v>-807.25200071880772</v>
      </c>
      <c r="S76" s="9">
        <f t="shared" si="21"/>
        <v>-607.25200071880772</v>
      </c>
      <c r="T76" s="9">
        <f t="shared" si="21"/>
        <v>-407.25200071880772</v>
      </c>
      <c r="U76" s="9">
        <f t="shared" si="21"/>
        <v>-207.25200071880772</v>
      </c>
      <c r="V76" s="9">
        <f t="shared" si="21"/>
        <v>-7.2520007188077216</v>
      </c>
      <c r="W76" s="9">
        <f t="shared" si="21"/>
        <v>192.74799928119228</v>
      </c>
      <c r="X76" s="9">
        <f t="shared" si="21"/>
        <v>392.74799928119228</v>
      </c>
      <c r="Y76" s="9">
        <f t="shared" si="21"/>
        <v>592.74799928119228</v>
      </c>
      <c r="Z76" s="9">
        <f t="shared" si="21"/>
        <v>792.74799928119228</v>
      </c>
    </row>
    <row r="77" spans="1:26" ht="13.5" customHeight="1" thickBot="1" x14ac:dyDescent="0.3">
      <c r="A77" s="48" t="s">
        <v>175</v>
      </c>
      <c r="B77" s="54">
        <f>B6</f>
        <v>7900</v>
      </c>
      <c r="C77" s="45"/>
      <c r="D77" s="71"/>
      <c r="E77" s="8">
        <f>E76+0.25</f>
        <v>2.25</v>
      </c>
      <c r="F77" s="13">
        <f t="shared" si="19"/>
        <v>-2967.4428895278288</v>
      </c>
      <c r="G77" s="14">
        <f t="shared" si="19"/>
        <v>-2767.4428895278288</v>
      </c>
      <c r="H77" s="14">
        <f t="shared" si="19"/>
        <v>-2567.4428895278288</v>
      </c>
      <c r="I77" s="15">
        <f t="shared" si="19"/>
        <v>-2367.4428895278288</v>
      </c>
      <c r="J77" s="15">
        <f t="shared" si="19"/>
        <v>-2167.4428895278288</v>
      </c>
      <c r="K77" s="15">
        <f t="shared" si="19"/>
        <v>-1967.4428895278288</v>
      </c>
      <c r="L77" s="15">
        <f t="shared" si="19"/>
        <v>-1767.4428895278288</v>
      </c>
      <c r="M77" s="15">
        <f t="shared" si="19"/>
        <v>-1567.4428895278288</v>
      </c>
      <c r="N77" s="16">
        <f t="shared" si="19"/>
        <v>-1367.4428895278288</v>
      </c>
      <c r="P77" s="71"/>
      <c r="Q77" s="8">
        <f>Q76+0.25</f>
        <v>2.25</v>
      </c>
      <c r="R77" s="9">
        <f t="shared" si="21"/>
        <v>48.054888249948817</v>
      </c>
      <c r="S77" s="9">
        <f t="shared" si="21"/>
        <v>248.05488824994882</v>
      </c>
      <c r="T77" s="9">
        <f t="shared" si="21"/>
        <v>448.05488824994882</v>
      </c>
      <c r="U77" s="9">
        <f t="shared" si="21"/>
        <v>648.05488824994882</v>
      </c>
      <c r="V77" s="9">
        <f t="shared" si="21"/>
        <v>848.05488824994882</v>
      </c>
      <c r="W77" s="9">
        <f t="shared" si="21"/>
        <v>1048.0548882499488</v>
      </c>
      <c r="X77" s="9">
        <f t="shared" si="21"/>
        <v>1248.0548882499488</v>
      </c>
      <c r="Y77" s="9">
        <f t="shared" si="21"/>
        <v>1448.0548882499488</v>
      </c>
      <c r="Z77" s="9">
        <f t="shared" si="21"/>
        <v>1648.0548882499488</v>
      </c>
    </row>
    <row r="78" spans="1:26" ht="13.5" customHeight="1" thickBot="1" x14ac:dyDescent="0.3">
      <c r="A78" s="50" t="s">
        <v>27</v>
      </c>
      <c r="B78" s="55">
        <f>D6</f>
        <v>209.49</v>
      </c>
      <c r="C78" s="47"/>
      <c r="D78" s="72"/>
      <c r="E78" s="8">
        <f>E77+0.25</f>
        <v>2.5</v>
      </c>
      <c r="F78" s="17">
        <f t="shared" si="19"/>
        <v>-1981.6476005750465</v>
      </c>
      <c r="G78" s="18">
        <f>G$73-($B$73/$E78)</f>
        <v>-1781.6476005750465</v>
      </c>
      <c r="H78" s="19">
        <f t="shared" si="19"/>
        <v>-1581.6476005750465</v>
      </c>
      <c r="I78" s="19">
        <f t="shared" si="19"/>
        <v>-1381.6476005750465</v>
      </c>
      <c r="J78" s="19">
        <f t="shared" si="19"/>
        <v>-1181.6476005750465</v>
      </c>
      <c r="K78" s="19">
        <f t="shared" si="19"/>
        <v>-981.64760057504645</v>
      </c>
      <c r="L78" s="19">
        <f t="shared" si="19"/>
        <v>-781.64760057504645</v>
      </c>
      <c r="M78" s="19">
        <f t="shared" si="19"/>
        <v>-581.64760057504645</v>
      </c>
      <c r="N78" s="20">
        <f>N$73-($B$73/$E78)</f>
        <v>-381.64760057504645</v>
      </c>
      <c r="P78" s="72"/>
      <c r="Q78" s="8">
        <f>Q77+0.25</f>
        <v>2.5</v>
      </c>
      <c r="R78" s="9">
        <f t="shared" si="21"/>
        <v>732.30039942495387</v>
      </c>
      <c r="S78" s="9">
        <f>S$73-($B$71/$E78)</f>
        <v>932.30039942495387</v>
      </c>
      <c r="T78" s="9">
        <f t="shared" si="21"/>
        <v>1132.3003994249539</v>
      </c>
      <c r="U78" s="9">
        <f t="shared" si="21"/>
        <v>1332.3003994249539</v>
      </c>
      <c r="V78" s="9">
        <f t="shared" si="21"/>
        <v>1532.3003994249539</v>
      </c>
      <c r="W78" s="9">
        <f t="shared" si="21"/>
        <v>1732.3003994249539</v>
      </c>
      <c r="X78" s="9">
        <f t="shared" si="21"/>
        <v>1932.3003994249539</v>
      </c>
      <c r="Y78" s="9">
        <f t="shared" si="21"/>
        <v>2132.3003994249539</v>
      </c>
      <c r="Z78" s="9">
        <f t="shared" si="21"/>
        <v>2332.3003994249539</v>
      </c>
    </row>
    <row r="79" spans="1:26" ht="13.5" customHeight="1" x14ac:dyDescent="0.25">
      <c r="A79" s="43" t="s">
        <v>28</v>
      </c>
      <c r="B79" s="56">
        <f>B77-B78</f>
        <v>7690.51</v>
      </c>
      <c r="C79" s="47"/>
    </row>
    <row r="80" spans="1:26" ht="13.5" customHeight="1" x14ac:dyDescent="0.25"/>
    <row r="81" spans="1:26" ht="13.5" customHeight="1" x14ac:dyDescent="0.25"/>
    <row r="82" spans="1:26" ht="13.5" customHeight="1" thickBot="1" x14ac:dyDescent="0.3">
      <c r="A82" s="68"/>
      <c r="B82" s="68"/>
    </row>
    <row r="83" spans="1:26" ht="19.5" customHeight="1" thickBot="1" x14ac:dyDescent="0.3">
      <c r="A83" s="69" t="s">
        <v>38</v>
      </c>
      <c r="B83" s="69"/>
      <c r="C83" s="40"/>
      <c r="D83" s="73" t="s">
        <v>39</v>
      </c>
      <c r="E83" s="74"/>
      <c r="F83" s="74"/>
      <c r="G83" s="74"/>
      <c r="H83" s="74"/>
      <c r="I83" s="74"/>
      <c r="J83" s="74"/>
      <c r="K83" s="74"/>
      <c r="L83" s="74"/>
      <c r="M83" s="74"/>
      <c r="N83" s="75"/>
      <c r="P83" s="73" t="s">
        <v>40</v>
      </c>
      <c r="Q83" s="74"/>
      <c r="R83" s="74"/>
      <c r="S83" s="74"/>
      <c r="T83" s="74"/>
      <c r="U83" s="74"/>
      <c r="V83" s="74"/>
      <c r="W83" s="74"/>
      <c r="X83" s="74"/>
      <c r="Y83" s="74"/>
      <c r="Z83" s="75"/>
    </row>
    <row r="84" spans="1:26" ht="13.5" customHeight="1" thickBot="1" x14ac:dyDescent="0.3">
      <c r="A84" s="48" t="s">
        <v>19</v>
      </c>
      <c r="B84" s="54">
        <f>Graansorghum!F25</f>
        <v>10574.818168713231</v>
      </c>
      <c r="C84" s="44"/>
      <c r="D84" s="3"/>
      <c r="E84" s="4"/>
      <c r="F84" s="59"/>
      <c r="G84" s="5"/>
      <c r="H84" s="59"/>
      <c r="I84" s="59"/>
      <c r="J84" s="59" t="s">
        <v>37</v>
      </c>
      <c r="K84" s="60"/>
      <c r="L84" s="59"/>
      <c r="M84" s="60"/>
      <c r="N84" s="59"/>
      <c r="P84" s="3"/>
      <c r="Q84" s="4"/>
      <c r="R84" s="59"/>
      <c r="S84" s="5"/>
      <c r="T84" s="59"/>
      <c r="U84" s="59"/>
      <c r="V84" s="59" t="s">
        <v>37</v>
      </c>
      <c r="W84" s="60"/>
      <c r="X84" s="59"/>
      <c r="Y84" s="60"/>
      <c r="Z84" s="59"/>
    </row>
    <row r="85" spans="1:26" ht="13.5" customHeight="1" thickBot="1" x14ac:dyDescent="0.3">
      <c r="A85" s="48" t="s">
        <v>21</v>
      </c>
      <c r="B85" s="55">
        <f>Graansorghum!F27</f>
        <v>6918.24</v>
      </c>
      <c r="C85" s="44"/>
      <c r="D85" s="73" t="s">
        <v>22</v>
      </c>
      <c r="E85" s="75"/>
      <c r="F85" s="6">
        <f>G85-200</f>
        <v>2700</v>
      </c>
      <c r="G85" s="6">
        <f>H85-200</f>
        <v>2900</v>
      </c>
      <c r="H85" s="6">
        <f>I85-200</f>
        <v>3100</v>
      </c>
      <c r="I85" s="6">
        <f>J85-200</f>
        <v>3300</v>
      </c>
      <c r="J85" s="59">
        <f>B90</f>
        <v>3500</v>
      </c>
      <c r="K85" s="6">
        <f>J85+200</f>
        <v>3700</v>
      </c>
      <c r="L85" s="6">
        <f>K85+200</f>
        <v>3900</v>
      </c>
      <c r="M85" s="6">
        <f>L85+200</f>
        <v>4100</v>
      </c>
      <c r="N85" s="6">
        <f>M85+200</f>
        <v>4300</v>
      </c>
      <c r="P85" s="73" t="s">
        <v>22</v>
      </c>
      <c r="Q85" s="75"/>
      <c r="R85" s="6">
        <f>S85-200</f>
        <v>2700</v>
      </c>
      <c r="S85" s="6">
        <f>T85-200</f>
        <v>2900</v>
      </c>
      <c r="T85" s="6">
        <f>U85-200</f>
        <v>3100</v>
      </c>
      <c r="U85" s="6">
        <f>V85-200</f>
        <v>3300</v>
      </c>
      <c r="V85" s="59">
        <f>J85</f>
        <v>3500</v>
      </c>
      <c r="W85" s="6">
        <f>V85+200</f>
        <v>3700</v>
      </c>
      <c r="X85" s="6">
        <f>W85+200</f>
        <v>3900</v>
      </c>
      <c r="Y85" s="6">
        <f>X85+200</f>
        <v>4100</v>
      </c>
      <c r="Z85" s="6">
        <f>Y85+200</f>
        <v>4300</v>
      </c>
    </row>
    <row r="86" spans="1:26" ht="13.5" customHeight="1" thickBot="1" x14ac:dyDescent="0.3">
      <c r="A86" s="49" t="s">
        <v>23</v>
      </c>
      <c r="B86" s="56">
        <f>B85+B84</f>
        <v>17493.058168713229</v>
      </c>
      <c r="C86" s="33"/>
      <c r="D86" s="76" t="s">
        <v>24</v>
      </c>
      <c r="E86" s="77"/>
      <c r="F86" s="27">
        <f t="shared" ref="F86:N86" si="22">F85-$B$78</f>
        <v>2490.5100000000002</v>
      </c>
      <c r="G86" s="7">
        <f t="shared" si="22"/>
        <v>2690.51</v>
      </c>
      <c r="H86" s="7">
        <f t="shared" si="22"/>
        <v>2890.51</v>
      </c>
      <c r="I86" s="7">
        <f t="shared" si="22"/>
        <v>3090.51</v>
      </c>
      <c r="J86" s="59">
        <f>J85-$B$78</f>
        <v>3290.51</v>
      </c>
      <c r="K86" s="7">
        <f t="shared" si="22"/>
        <v>3490.51</v>
      </c>
      <c r="L86" s="7">
        <f t="shared" si="22"/>
        <v>3690.51</v>
      </c>
      <c r="M86" s="7">
        <f t="shared" si="22"/>
        <v>3890.51</v>
      </c>
      <c r="N86" s="7">
        <f t="shared" si="22"/>
        <v>4090.51</v>
      </c>
      <c r="P86" s="76" t="s">
        <v>24</v>
      </c>
      <c r="Q86" s="77"/>
      <c r="R86" s="7">
        <f t="shared" ref="R86:Z86" si="23">R85-$B$78</f>
        <v>2490.5100000000002</v>
      </c>
      <c r="S86" s="7">
        <f t="shared" si="23"/>
        <v>2690.51</v>
      </c>
      <c r="T86" s="7">
        <f t="shared" si="23"/>
        <v>2890.51</v>
      </c>
      <c r="U86" s="7">
        <f t="shared" si="23"/>
        <v>3090.51</v>
      </c>
      <c r="V86" s="63">
        <f t="shared" si="23"/>
        <v>3290.51</v>
      </c>
      <c r="W86" s="7">
        <f t="shared" si="23"/>
        <v>3490.51</v>
      </c>
      <c r="X86" s="7">
        <f t="shared" si="23"/>
        <v>3690.51</v>
      </c>
      <c r="Y86" s="7">
        <f t="shared" si="23"/>
        <v>3890.51</v>
      </c>
      <c r="Z86" s="7">
        <f t="shared" si="23"/>
        <v>4090.51</v>
      </c>
    </row>
    <row r="87" spans="1:26" ht="13.5" customHeight="1" thickBot="1" x14ac:dyDescent="0.3">
      <c r="A87" s="48"/>
      <c r="B87" s="41"/>
      <c r="C87" s="45"/>
      <c r="D87" s="70" t="s">
        <v>25</v>
      </c>
      <c r="E87" s="8">
        <f>E88-0.25</f>
        <v>2.5</v>
      </c>
      <c r="F87" s="9">
        <f>F$86-($B$86/$E87)</f>
        <v>-4506.713267485291</v>
      </c>
      <c r="G87" s="9">
        <f t="shared" ref="G87:N87" si="24">G$86-($B$86/$E87)</f>
        <v>-4306.713267485291</v>
      </c>
      <c r="H87" s="9">
        <f t="shared" si="24"/>
        <v>-4106.713267485291</v>
      </c>
      <c r="I87" s="9">
        <f t="shared" si="24"/>
        <v>-3906.713267485291</v>
      </c>
      <c r="J87" s="9">
        <f t="shared" si="24"/>
        <v>-3706.713267485291</v>
      </c>
      <c r="K87" s="9">
        <f t="shared" si="24"/>
        <v>-3506.713267485291</v>
      </c>
      <c r="L87" s="9">
        <f>L$86-($B$86/$E87)</f>
        <v>-3306.713267485291</v>
      </c>
      <c r="M87" s="9">
        <f t="shared" si="24"/>
        <v>-3106.713267485291</v>
      </c>
      <c r="N87" s="9">
        <f t="shared" si="24"/>
        <v>-2906.713267485291</v>
      </c>
      <c r="P87" s="70" t="s">
        <v>25</v>
      </c>
      <c r="Q87" s="8">
        <f>Q88-0.25</f>
        <v>2.5</v>
      </c>
      <c r="R87" s="9">
        <f>R$86-($B$84/$E87)</f>
        <v>-1739.4172674852925</v>
      </c>
      <c r="S87" s="9">
        <f t="shared" ref="S87:Z87" si="25">S$86-($B$84/$E87)</f>
        <v>-1539.4172674852925</v>
      </c>
      <c r="T87" s="9">
        <f t="shared" si="25"/>
        <v>-1339.4172674852925</v>
      </c>
      <c r="U87" s="9">
        <f t="shared" si="25"/>
        <v>-1139.4172674852925</v>
      </c>
      <c r="V87" s="9">
        <f t="shared" si="25"/>
        <v>-939.41726748529254</v>
      </c>
      <c r="W87" s="9">
        <f t="shared" si="25"/>
        <v>-739.41726748529254</v>
      </c>
      <c r="X87" s="9">
        <f t="shared" si="25"/>
        <v>-539.41726748529254</v>
      </c>
      <c r="Y87" s="9">
        <f t="shared" si="25"/>
        <v>-339.41726748529254</v>
      </c>
      <c r="Z87" s="9">
        <f t="shared" si="25"/>
        <v>-139.41726748529254</v>
      </c>
    </row>
    <row r="88" spans="1:26" ht="13.5" customHeight="1" thickBot="1" x14ac:dyDescent="0.3">
      <c r="A88" s="48" t="s">
        <v>26</v>
      </c>
      <c r="B88" s="64">
        <v>3</v>
      </c>
      <c r="C88" s="46"/>
      <c r="D88" s="71"/>
      <c r="E88" s="8">
        <f>E89-0.25</f>
        <v>2.75</v>
      </c>
      <c r="F88" s="9">
        <f t="shared" ref="F88:N91" si="26">F$86-($B$86/$E88)</f>
        <v>-3870.6020613502651</v>
      </c>
      <c r="G88" s="9">
        <f t="shared" si="26"/>
        <v>-3670.6020613502651</v>
      </c>
      <c r="H88" s="9">
        <f t="shared" si="26"/>
        <v>-3470.6020613502651</v>
      </c>
      <c r="I88" s="9">
        <f t="shared" si="26"/>
        <v>-3270.6020613502651</v>
      </c>
      <c r="J88" s="9">
        <f t="shared" si="26"/>
        <v>-3070.6020613502651</v>
      </c>
      <c r="K88" s="9">
        <f t="shared" si="26"/>
        <v>-2870.6020613502651</v>
      </c>
      <c r="L88" s="9">
        <f t="shared" si="26"/>
        <v>-2670.6020613502651</v>
      </c>
      <c r="M88" s="9">
        <f t="shared" si="26"/>
        <v>-2470.6020613502651</v>
      </c>
      <c r="N88" s="9">
        <f t="shared" si="26"/>
        <v>-2270.6020613502651</v>
      </c>
      <c r="P88" s="71"/>
      <c r="Q88" s="8">
        <f>Q89-0.25</f>
        <v>2.75</v>
      </c>
      <c r="R88" s="9">
        <f t="shared" ref="R88:Z91" si="27">R$86-($B$84/$E88)</f>
        <v>-1354.8784249866294</v>
      </c>
      <c r="S88" s="9">
        <f t="shared" si="27"/>
        <v>-1154.8784249866294</v>
      </c>
      <c r="T88" s="9">
        <f t="shared" si="27"/>
        <v>-954.8784249866294</v>
      </c>
      <c r="U88" s="9">
        <f t="shared" si="27"/>
        <v>-754.8784249866294</v>
      </c>
      <c r="V88" s="9">
        <f t="shared" si="27"/>
        <v>-554.8784249866294</v>
      </c>
      <c r="W88" s="9">
        <f t="shared" si="27"/>
        <v>-354.8784249866294</v>
      </c>
      <c r="X88" s="9">
        <f t="shared" si="27"/>
        <v>-154.8784249866294</v>
      </c>
      <c r="Y88" s="9">
        <f t="shared" si="27"/>
        <v>45.121575013370602</v>
      </c>
      <c r="Z88" s="9">
        <f t="shared" si="27"/>
        <v>245.1215750133706</v>
      </c>
    </row>
    <row r="89" spans="1:26" ht="13.5" customHeight="1" thickBot="1" x14ac:dyDescent="0.3">
      <c r="A89" s="48"/>
      <c r="B89" s="41"/>
      <c r="C89" s="45"/>
      <c r="D89" s="71"/>
      <c r="E89" s="65">
        <f>B88</f>
        <v>3</v>
      </c>
      <c r="F89" s="9">
        <f t="shared" si="26"/>
        <v>-3340.5093895710761</v>
      </c>
      <c r="G89" s="9">
        <f t="shared" si="26"/>
        <v>-3140.5093895710761</v>
      </c>
      <c r="H89" s="9">
        <f t="shared" si="26"/>
        <v>-2940.5093895710761</v>
      </c>
      <c r="I89" s="9">
        <f t="shared" si="26"/>
        <v>-2740.5093895710761</v>
      </c>
      <c r="J89" s="9">
        <f t="shared" si="26"/>
        <v>-2540.5093895710761</v>
      </c>
      <c r="K89" s="9">
        <f t="shared" si="26"/>
        <v>-2340.5093895710761</v>
      </c>
      <c r="L89" s="9">
        <f t="shared" si="26"/>
        <v>-2140.5093895710761</v>
      </c>
      <c r="M89" s="9">
        <f t="shared" si="26"/>
        <v>-1940.5093895710761</v>
      </c>
      <c r="N89" s="9">
        <f t="shared" si="26"/>
        <v>-1740.5093895710761</v>
      </c>
      <c r="P89" s="71"/>
      <c r="Q89" s="65">
        <f>E89</f>
        <v>3</v>
      </c>
      <c r="R89" s="9">
        <f t="shared" si="27"/>
        <v>-1034.4293895710766</v>
      </c>
      <c r="S89" s="9">
        <f t="shared" si="27"/>
        <v>-834.42938957107663</v>
      </c>
      <c r="T89" s="9">
        <f t="shared" si="27"/>
        <v>-634.42938957107663</v>
      </c>
      <c r="U89" s="9">
        <f t="shared" si="27"/>
        <v>-434.42938957107663</v>
      </c>
      <c r="V89" s="9">
        <f t="shared" si="27"/>
        <v>-234.42938957107663</v>
      </c>
      <c r="W89" s="9">
        <f t="shared" si="27"/>
        <v>-34.429389571076626</v>
      </c>
      <c r="X89" s="9">
        <f t="shared" si="27"/>
        <v>165.57061042892337</v>
      </c>
      <c r="Y89" s="9">
        <f t="shared" si="27"/>
        <v>365.57061042892337</v>
      </c>
      <c r="Z89" s="9">
        <f t="shared" si="27"/>
        <v>565.57061042892337</v>
      </c>
    </row>
    <row r="90" spans="1:26" ht="13.5" customHeight="1" thickBot="1" x14ac:dyDescent="0.3">
      <c r="A90" s="48" t="s">
        <v>178</v>
      </c>
      <c r="B90" s="54">
        <f>B7</f>
        <v>3500</v>
      </c>
      <c r="C90" s="45"/>
      <c r="D90" s="71"/>
      <c r="E90" s="8">
        <f>E89+0.25</f>
        <v>3.25</v>
      </c>
      <c r="F90" s="9">
        <f t="shared" si="26"/>
        <v>-2891.9694365271471</v>
      </c>
      <c r="G90" s="9">
        <f t="shared" si="26"/>
        <v>-2691.9694365271471</v>
      </c>
      <c r="H90" s="9">
        <f t="shared" si="26"/>
        <v>-2491.9694365271471</v>
      </c>
      <c r="I90" s="9">
        <f t="shared" si="26"/>
        <v>-2291.9694365271471</v>
      </c>
      <c r="J90" s="9">
        <f t="shared" si="26"/>
        <v>-2091.9694365271471</v>
      </c>
      <c r="K90" s="9">
        <f t="shared" si="26"/>
        <v>-1891.9694365271471</v>
      </c>
      <c r="L90" s="9">
        <f t="shared" si="26"/>
        <v>-1691.9694365271471</v>
      </c>
      <c r="M90" s="9">
        <f t="shared" si="26"/>
        <v>-1491.9694365271471</v>
      </c>
      <c r="N90" s="9">
        <f t="shared" si="26"/>
        <v>-1291.9694365271471</v>
      </c>
      <c r="P90" s="71"/>
      <c r="Q90" s="8">
        <f>Q89+0.25</f>
        <v>3.25</v>
      </c>
      <c r="R90" s="9">
        <f t="shared" si="27"/>
        <v>-763.28020575791697</v>
      </c>
      <c r="S90" s="9">
        <f t="shared" si="27"/>
        <v>-563.28020575791697</v>
      </c>
      <c r="T90" s="9">
        <f t="shared" si="27"/>
        <v>-363.28020575791697</v>
      </c>
      <c r="U90" s="9">
        <f t="shared" si="27"/>
        <v>-163.28020575791697</v>
      </c>
      <c r="V90" s="9">
        <f t="shared" si="27"/>
        <v>36.719794242083026</v>
      </c>
      <c r="W90" s="9">
        <f t="shared" si="27"/>
        <v>236.71979424208303</v>
      </c>
      <c r="X90" s="9">
        <f t="shared" si="27"/>
        <v>436.71979424208303</v>
      </c>
      <c r="Y90" s="9">
        <f t="shared" si="27"/>
        <v>636.71979424208303</v>
      </c>
      <c r="Z90" s="9">
        <f t="shared" si="27"/>
        <v>836.71979424208303</v>
      </c>
    </row>
    <row r="91" spans="1:26" ht="13.5" customHeight="1" thickBot="1" x14ac:dyDescent="0.3">
      <c r="A91" s="50" t="s">
        <v>27</v>
      </c>
      <c r="B91" s="55">
        <f>D7</f>
        <v>132</v>
      </c>
      <c r="C91" s="47"/>
      <c r="D91" s="72"/>
      <c r="E91" s="8">
        <f>E90+0.25</f>
        <v>3.5</v>
      </c>
      <c r="F91" s="9">
        <f t="shared" si="26"/>
        <v>-2507.5066196323505</v>
      </c>
      <c r="G91" s="9">
        <f>G$86-($B$86/$E91)</f>
        <v>-2307.5066196323505</v>
      </c>
      <c r="H91" s="9">
        <f t="shared" si="26"/>
        <v>-2107.5066196323505</v>
      </c>
      <c r="I91" s="9">
        <f t="shared" si="26"/>
        <v>-1907.5066196323505</v>
      </c>
      <c r="J91" s="9">
        <f t="shared" si="26"/>
        <v>-1707.5066196323505</v>
      </c>
      <c r="K91" s="9">
        <f t="shared" si="26"/>
        <v>-1507.5066196323505</v>
      </c>
      <c r="L91" s="9">
        <f t="shared" si="26"/>
        <v>-1307.5066196323505</v>
      </c>
      <c r="M91" s="9">
        <f t="shared" si="26"/>
        <v>-1107.5066196323505</v>
      </c>
      <c r="N91" s="9">
        <f>N$86-($B$86/$E91)</f>
        <v>-907.50661963235052</v>
      </c>
      <c r="P91" s="72"/>
      <c r="Q91" s="8">
        <f>Q90+0.25</f>
        <v>3.5</v>
      </c>
      <c r="R91" s="9">
        <f t="shared" si="27"/>
        <v>-530.86661963235156</v>
      </c>
      <c r="S91" s="9">
        <f>S$86-($B$84/$E91)</f>
        <v>-330.86661963235156</v>
      </c>
      <c r="T91" s="9">
        <f t="shared" si="27"/>
        <v>-130.86661963235156</v>
      </c>
      <c r="U91" s="9">
        <f t="shared" si="27"/>
        <v>69.133380367648442</v>
      </c>
      <c r="V91" s="9">
        <f t="shared" si="27"/>
        <v>269.13338036764844</v>
      </c>
      <c r="W91" s="9">
        <f t="shared" si="27"/>
        <v>469.13338036764844</v>
      </c>
      <c r="X91" s="9">
        <f t="shared" si="27"/>
        <v>669.13338036764844</v>
      </c>
      <c r="Y91" s="9">
        <f t="shared" si="27"/>
        <v>869.13338036764844</v>
      </c>
      <c r="Z91" s="9">
        <f t="shared" si="27"/>
        <v>1069.1333803676484</v>
      </c>
    </row>
    <row r="92" spans="1:26" ht="13.5" customHeight="1" x14ac:dyDescent="0.25">
      <c r="A92" s="43" t="s">
        <v>28</v>
      </c>
      <c r="B92" s="56">
        <f>B90-B91</f>
        <v>3368</v>
      </c>
      <c r="C92" s="47"/>
    </row>
  </sheetData>
  <sheetProtection selectLockedCells="1"/>
  <mergeCells count="60">
    <mergeCell ref="A83:B83"/>
    <mergeCell ref="D17:N17"/>
    <mergeCell ref="P17:Z17"/>
    <mergeCell ref="D19:E19"/>
    <mergeCell ref="P19:Q19"/>
    <mergeCell ref="D20:E20"/>
    <mergeCell ref="P20:Q20"/>
    <mergeCell ref="D21:D25"/>
    <mergeCell ref="P21:P25"/>
    <mergeCell ref="D30:N30"/>
    <mergeCell ref="P30:Z30"/>
    <mergeCell ref="D32:E32"/>
    <mergeCell ref="P32:Q32"/>
    <mergeCell ref="D33:E33"/>
    <mergeCell ref="P33:Q33"/>
    <mergeCell ref="D34:D38"/>
    <mergeCell ref="P34:P38"/>
    <mergeCell ref="D43:N43"/>
    <mergeCell ref="P43:Z43"/>
    <mergeCell ref="D45:E45"/>
    <mergeCell ref="P45:Q45"/>
    <mergeCell ref="D46:E46"/>
    <mergeCell ref="P46:Q46"/>
    <mergeCell ref="D47:D51"/>
    <mergeCell ref="P47:P51"/>
    <mergeCell ref="D57:N57"/>
    <mergeCell ref="P57:Z57"/>
    <mergeCell ref="D59:E59"/>
    <mergeCell ref="P59:Q59"/>
    <mergeCell ref="D60:E60"/>
    <mergeCell ref="P60:Q60"/>
    <mergeCell ref="D61:D65"/>
    <mergeCell ref="P61:P65"/>
    <mergeCell ref="D70:N70"/>
    <mergeCell ref="P70:Z70"/>
    <mergeCell ref="D72:E72"/>
    <mergeCell ref="P72:Q72"/>
    <mergeCell ref="D73:E73"/>
    <mergeCell ref="P73:Q73"/>
    <mergeCell ref="D74:D78"/>
    <mergeCell ref="P74:P78"/>
    <mergeCell ref="D87:D91"/>
    <mergeCell ref="P87:P91"/>
    <mergeCell ref="D83:N83"/>
    <mergeCell ref="P83:Z83"/>
    <mergeCell ref="D85:E85"/>
    <mergeCell ref="P85:Q85"/>
    <mergeCell ref="D86:E86"/>
    <mergeCell ref="P86:Q86"/>
    <mergeCell ref="A82:B82"/>
    <mergeCell ref="A16:B16"/>
    <mergeCell ref="A29:B29"/>
    <mergeCell ref="A42:B42"/>
    <mergeCell ref="A56:B56"/>
    <mergeCell ref="A69:B69"/>
    <mergeCell ref="A17:B17"/>
    <mergeCell ref="A30:B30"/>
    <mergeCell ref="A43:B43"/>
    <mergeCell ref="A57:B57"/>
    <mergeCell ref="A70:B70"/>
  </mergeCells>
  <conditionalFormatting sqref="F21:N25">
    <cfRule type="cellIs" dxfId="57" priority="57" stopIfTrue="1" operator="lessThan">
      <formula>1</formula>
    </cfRule>
    <cfRule type="cellIs" dxfId="56" priority="58" stopIfTrue="1" operator="greaterThan">
      <formula>1</formula>
    </cfRule>
    <cfRule type="cellIs" dxfId="55" priority="59" stopIfTrue="1" operator="lessThan">
      <formula>1</formula>
    </cfRule>
    <cfRule type="cellIs" dxfId="54" priority="60" stopIfTrue="1" operator="greaterThan">
      <formula>1</formula>
    </cfRule>
  </conditionalFormatting>
  <conditionalFormatting sqref="F34:N38">
    <cfRule type="cellIs" dxfId="53" priority="33" stopIfTrue="1" operator="lessThan">
      <formula>1</formula>
    </cfRule>
    <cfRule type="cellIs" dxfId="52" priority="34" stopIfTrue="1" operator="greaterThan">
      <formula>1</formula>
    </cfRule>
    <cfRule type="cellIs" dxfId="51" priority="35" stopIfTrue="1" operator="lessThan">
      <formula>1</formula>
    </cfRule>
    <cfRule type="cellIs" dxfId="50" priority="36" stopIfTrue="1" operator="greaterThan">
      <formula>1</formula>
    </cfRule>
  </conditionalFormatting>
  <conditionalFormatting sqref="F47:N51">
    <cfRule type="cellIs" dxfId="49" priority="25" stopIfTrue="1" operator="lessThan">
      <formula>1</formula>
    </cfRule>
    <cfRule type="cellIs" dxfId="48" priority="26" stopIfTrue="1" operator="greaterThan">
      <formula>1</formula>
    </cfRule>
    <cfRule type="cellIs" dxfId="47" priority="27" stopIfTrue="1" operator="lessThan">
      <formula>1</formula>
    </cfRule>
    <cfRule type="cellIs" dxfId="46" priority="28" stopIfTrue="1" operator="greaterThan">
      <formula>1</formula>
    </cfRule>
  </conditionalFormatting>
  <conditionalFormatting sqref="F61:N65">
    <cfRule type="cellIs" dxfId="45" priority="41" stopIfTrue="1" operator="lessThan">
      <formula>1</formula>
    </cfRule>
    <cfRule type="cellIs" dxfId="44" priority="42" stopIfTrue="1" operator="greaterThan">
      <formula>1</formula>
    </cfRule>
    <cfRule type="cellIs" dxfId="43" priority="43" stopIfTrue="1" operator="lessThan">
      <formula>1</formula>
    </cfRule>
    <cfRule type="cellIs" dxfId="42" priority="44" stopIfTrue="1" operator="greaterThan">
      <formula>1</formula>
    </cfRule>
  </conditionalFormatting>
  <conditionalFormatting sqref="F74:N78">
    <cfRule type="cellIs" dxfId="41" priority="53" stopIfTrue="1" operator="lessThan">
      <formula>1</formula>
    </cfRule>
    <cfRule type="cellIs" dxfId="40" priority="54" stopIfTrue="1" operator="greaterThan">
      <formula>1</formula>
    </cfRule>
    <cfRule type="cellIs" dxfId="39" priority="55" stopIfTrue="1" operator="lessThan">
      <formula>1</formula>
    </cfRule>
    <cfRule type="cellIs" dxfId="38" priority="56" stopIfTrue="1" operator="greaterThan">
      <formula>1</formula>
    </cfRule>
  </conditionalFormatting>
  <conditionalFormatting sqref="F87:N91">
    <cfRule type="cellIs" dxfId="37" priority="9" stopIfTrue="1" operator="lessThan">
      <formula>1</formula>
    </cfRule>
    <cfRule type="cellIs" dxfId="36" priority="10" stopIfTrue="1" operator="greaterThan">
      <formula>1</formula>
    </cfRule>
    <cfRule type="cellIs" dxfId="35" priority="11" stopIfTrue="1" operator="lessThan">
      <formula>1</formula>
    </cfRule>
    <cfRule type="cellIs" dxfId="34" priority="12" stopIfTrue="1" operator="greaterThan">
      <formula>1</formula>
    </cfRule>
  </conditionalFormatting>
  <conditionalFormatting sqref="R21:Z25">
    <cfRule type="cellIs" dxfId="33" priority="49" stopIfTrue="1" operator="lessThan">
      <formula>1</formula>
    </cfRule>
    <cfRule type="cellIs" dxfId="32" priority="50" stopIfTrue="1" operator="greaterThan">
      <formula>1</formula>
    </cfRule>
    <cfRule type="cellIs" dxfId="31" priority="51" stopIfTrue="1" operator="lessThan">
      <formula>1</formula>
    </cfRule>
    <cfRule type="cellIs" dxfId="30" priority="52" stopIfTrue="1" operator="greaterThan">
      <formula>1</formula>
    </cfRule>
  </conditionalFormatting>
  <conditionalFormatting sqref="R34:Z38">
    <cfRule type="cellIs" dxfId="29" priority="29" stopIfTrue="1" operator="lessThan">
      <formula>1</formula>
    </cfRule>
    <cfRule type="cellIs" dxfId="28" priority="30" stopIfTrue="1" operator="greaterThan">
      <formula>1</formula>
    </cfRule>
    <cfRule type="cellIs" dxfId="27" priority="31" stopIfTrue="1" operator="lessThan">
      <formula>1</formula>
    </cfRule>
    <cfRule type="cellIs" dxfId="26" priority="32" stopIfTrue="1" operator="greaterThan">
      <formula>1</formula>
    </cfRule>
  </conditionalFormatting>
  <conditionalFormatting sqref="R47:Z51">
    <cfRule type="cellIs" dxfId="25" priority="21" stopIfTrue="1" operator="lessThan">
      <formula>1</formula>
    </cfRule>
    <cfRule type="cellIs" dxfId="24" priority="22" stopIfTrue="1" operator="greaterThan">
      <formula>1</formula>
    </cfRule>
    <cfRule type="cellIs" dxfId="23" priority="23" stopIfTrue="1" operator="lessThan">
      <formula>1</formula>
    </cfRule>
    <cfRule type="cellIs" dxfId="22" priority="24" stopIfTrue="1" operator="greaterThan">
      <formula>1</formula>
    </cfRule>
  </conditionalFormatting>
  <conditionalFormatting sqref="R61:Z65">
    <cfRule type="cellIs" dxfId="21" priority="37" stopIfTrue="1" operator="lessThan">
      <formula>1</formula>
    </cfRule>
    <cfRule type="cellIs" dxfId="20" priority="38" stopIfTrue="1" operator="greaterThan">
      <formula>1</formula>
    </cfRule>
    <cfRule type="cellIs" dxfId="19" priority="39" stopIfTrue="1" operator="lessThan">
      <formula>1</formula>
    </cfRule>
    <cfRule type="cellIs" dxfId="18" priority="40" stopIfTrue="1" operator="greaterThan">
      <formula>1</formula>
    </cfRule>
  </conditionalFormatting>
  <conditionalFormatting sqref="R74:Z78">
    <cfRule type="cellIs" dxfId="17" priority="45" stopIfTrue="1" operator="lessThan">
      <formula>1</formula>
    </cfRule>
    <cfRule type="cellIs" dxfId="16" priority="46" stopIfTrue="1" operator="greaterThan">
      <formula>1</formula>
    </cfRule>
    <cfRule type="cellIs" dxfId="15" priority="47" stopIfTrue="1" operator="lessThan">
      <formula>1</formula>
    </cfRule>
    <cfRule type="cellIs" dxfId="14" priority="48" stopIfTrue="1" operator="greaterThan">
      <formula>1</formula>
    </cfRule>
  </conditionalFormatting>
  <conditionalFormatting sqref="R87:Z91">
    <cfRule type="cellIs" dxfId="13" priority="1" stopIfTrue="1" operator="lessThan">
      <formula>1</formula>
    </cfRule>
    <cfRule type="cellIs" dxfId="12" priority="2" stopIfTrue="1" operator="greaterThan">
      <formula>1</formula>
    </cfRule>
    <cfRule type="cellIs" dxfId="11" priority="3" stopIfTrue="1" operator="lessThan">
      <formula>1</formula>
    </cfRule>
    <cfRule type="cellIs" dxfId="10" priority="4" stopIfTrue="1" operator="greaterThan">
      <formula>1</formula>
    </cfRule>
  </conditionalFormatting>
  <dataValidations count="6">
    <dataValidation type="list" allowBlank="1" showInputMessage="1" showErrorMessage="1" sqref="B88" xr:uid="{00000000-0002-0000-0000-000000000000}">
      <formula1>Sorgopbrengspeil</formula1>
    </dataValidation>
    <dataValidation type="list" allowBlank="1" showInputMessage="1" showErrorMessage="1" sqref="B75" xr:uid="{00000000-0002-0000-0000-000001000000}">
      <formula1>Sojaopbrengspeil</formula1>
    </dataValidation>
    <dataValidation type="list" allowBlank="1" showInputMessage="1" showErrorMessage="1" sqref="B62" xr:uid="{00000000-0002-0000-0000-000002000000}">
      <formula1>Sonopbrengspeil</formula1>
    </dataValidation>
    <dataValidation type="list" allowBlank="1" showInputMessage="1" showErrorMessage="1" sqref="B48" xr:uid="{00000000-0002-0000-0000-000003000000}">
      <formula1>BTopbrengspeil</formula1>
    </dataValidation>
    <dataValidation type="list" allowBlank="1" showInputMessage="1" showErrorMessage="1" sqref="B35" xr:uid="{00000000-0002-0000-0000-000004000000}">
      <formula1>RRHpbrengspeil</formula1>
    </dataValidation>
    <dataValidation type="list" allowBlank="1" showInputMessage="1" showErrorMessage="1" sqref="B22" xr:uid="{00000000-0002-0000-0000-000005000000}">
      <formula1>RRLopbrengspeil</formula1>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F190A-0CC6-4019-959C-7DE2F04DCDD8}">
  <dimension ref="A1:F77"/>
  <sheetViews>
    <sheetView zoomScale="70" zoomScaleNormal="70" workbookViewId="0">
      <selection activeCell="AD41" sqref="AD41"/>
    </sheetView>
  </sheetViews>
  <sheetFormatPr defaultColWidth="9.109375" defaultRowHeight="14.4" x14ac:dyDescent="0.3"/>
  <cols>
    <col min="1" max="1" width="23.88671875" style="388" bestFit="1" customWidth="1"/>
    <col min="2" max="2" width="7" style="388" bestFit="1" customWidth="1"/>
    <col min="3" max="3" width="8.44140625" style="388" customWidth="1"/>
    <col min="4" max="4" width="17.109375" style="388" customWidth="1"/>
    <col min="5" max="5" width="9.109375" style="388" customWidth="1"/>
    <col min="6" max="6" width="6.6640625" style="425" bestFit="1" customWidth="1"/>
    <col min="7" max="16384" width="9.109375" style="388"/>
  </cols>
  <sheetData>
    <row r="1" spans="1:6" s="405" customFormat="1" ht="35.4" customHeight="1" x14ac:dyDescent="0.25">
      <c r="A1" s="401" t="s">
        <v>153</v>
      </c>
      <c r="B1" s="402"/>
      <c r="C1" s="403"/>
      <c r="D1" s="401" t="s">
        <v>154</v>
      </c>
      <c r="E1" s="402"/>
      <c r="F1" s="403"/>
    </row>
    <row r="2" spans="1:6" x14ac:dyDescent="0.3">
      <c r="A2" s="416" t="s">
        <v>155</v>
      </c>
      <c r="B2" s="409">
        <v>0</v>
      </c>
      <c r="C2" s="410">
        <v>0</v>
      </c>
      <c r="D2" s="418" t="s">
        <v>156</v>
      </c>
      <c r="E2" s="409"/>
      <c r="F2" s="422">
        <f>((B4+B3+F7)/B7)*100</f>
        <v>41.084817912231628</v>
      </c>
    </row>
    <row r="3" spans="1:6" x14ac:dyDescent="0.3">
      <c r="A3" s="416" t="s">
        <v>157</v>
      </c>
      <c r="B3" s="412">
        <f>'Crop Comparison'!C27</f>
        <v>21752.689454517753</v>
      </c>
      <c r="C3" s="411">
        <f>B3/$B$7*100</f>
        <v>44.068307955630324</v>
      </c>
      <c r="D3" s="418" t="s">
        <v>154</v>
      </c>
      <c r="E3" s="409"/>
      <c r="F3" s="423">
        <v>1</v>
      </c>
    </row>
    <row r="4" spans="1:6" x14ac:dyDescent="0.3">
      <c r="A4" s="416" t="s">
        <v>158</v>
      </c>
      <c r="B4" s="412">
        <f>'Crop Comparison'!C29</f>
        <v>7328.6099999999988</v>
      </c>
      <c r="C4" s="411">
        <f>B4/$B$7*100</f>
        <v>14.846874132138055</v>
      </c>
      <c r="D4" s="418" t="s">
        <v>159</v>
      </c>
      <c r="E4" s="409"/>
      <c r="F4" s="422">
        <f>C7-F3-F2</f>
        <v>157.91518208776836</v>
      </c>
    </row>
    <row r="5" spans="1:6" x14ac:dyDescent="0.3">
      <c r="A5" s="416" t="s">
        <v>160</v>
      </c>
      <c r="B5" s="412">
        <f>'Crop Comparison'!C8</f>
        <v>20280</v>
      </c>
      <c r="C5" s="411">
        <f>B5/$B$7*100</f>
        <v>41.084817912231628</v>
      </c>
      <c r="D5" s="416"/>
      <c r="E5" s="409"/>
      <c r="F5" s="423"/>
    </row>
    <row r="6" spans="1:6" x14ac:dyDescent="0.3">
      <c r="A6" s="416" t="s">
        <v>161</v>
      </c>
      <c r="B6" s="409"/>
      <c r="C6" s="410">
        <v>100</v>
      </c>
      <c r="D6" s="416"/>
      <c r="E6" s="409"/>
      <c r="F6" s="423"/>
    </row>
    <row r="7" spans="1:6" ht="15" thickBot="1" x14ac:dyDescent="0.35">
      <c r="A7" s="417" t="s">
        <v>162</v>
      </c>
      <c r="B7" s="413">
        <f>SUM(B3:B5)</f>
        <v>49361.29945451775</v>
      </c>
      <c r="C7" s="414">
        <f>SUM(C2:C6)</f>
        <v>200</v>
      </c>
      <c r="D7" s="417" t="s">
        <v>163</v>
      </c>
      <c r="E7" s="415"/>
      <c r="F7" s="424">
        <f>B5-(B3+B4)</f>
        <v>-8801.2994545177498</v>
      </c>
    </row>
    <row r="16" spans="1:6" ht="15" thickBot="1" x14ac:dyDescent="0.35"/>
    <row r="17" spans="1:6" s="404" customFormat="1" ht="30" customHeight="1" x14ac:dyDescent="0.25">
      <c r="A17" s="401" t="s">
        <v>164</v>
      </c>
      <c r="B17" s="402"/>
      <c r="C17" s="403"/>
      <c r="D17" s="401" t="s">
        <v>154</v>
      </c>
      <c r="E17" s="402"/>
      <c r="F17" s="403"/>
    </row>
    <row r="18" spans="1:6" x14ac:dyDescent="0.3">
      <c r="A18" s="416" t="s">
        <v>155</v>
      </c>
      <c r="B18" s="409">
        <v>0</v>
      </c>
      <c r="C18" s="410">
        <v>0</v>
      </c>
      <c r="D18" s="418" t="s">
        <v>156</v>
      </c>
      <c r="E18" s="409"/>
      <c r="F18" s="422">
        <f>((B20+B19+F23)/B23)*100</f>
        <v>37.251980988172058</v>
      </c>
    </row>
    <row r="19" spans="1:6" x14ac:dyDescent="0.3">
      <c r="A19" s="416" t="s">
        <v>157</v>
      </c>
      <c r="B19" s="412">
        <f>'Crop Comparison'!B27</f>
        <v>15646.151899585044</v>
      </c>
      <c r="C19" s="411">
        <f>B19/$B$23*100</f>
        <v>43.11021842465933</v>
      </c>
      <c r="D19" s="418" t="s">
        <v>154</v>
      </c>
      <c r="E19" s="409"/>
      <c r="F19" s="423">
        <v>1</v>
      </c>
    </row>
    <row r="20" spans="1:6" x14ac:dyDescent="0.3">
      <c r="A20" s="416" t="s">
        <v>158</v>
      </c>
      <c r="B20" s="412">
        <f>'Crop Comparison'!B29</f>
        <v>7127.22</v>
      </c>
      <c r="C20" s="411">
        <f>B20/$B$23*100</f>
        <v>19.637800587168613</v>
      </c>
      <c r="D20" s="418" t="s">
        <v>159</v>
      </c>
      <c r="E20" s="409"/>
      <c r="F20" s="422">
        <f>C23-F19-F18</f>
        <v>161.74801901182795</v>
      </c>
    </row>
    <row r="21" spans="1:6" x14ac:dyDescent="0.3">
      <c r="A21" s="416" t="s">
        <v>160</v>
      </c>
      <c r="B21" s="412">
        <f>'Crop Comparison'!B8</f>
        <v>13520</v>
      </c>
      <c r="C21" s="411">
        <f>B21/$B$23*100</f>
        <v>37.251980988172058</v>
      </c>
      <c r="D21" s="416"/>
      <c r="E21" s="409"/>
      <c r="F21" s="423"/>
    </row>
    <row r="22" spans="1:6" x14ac:dyDescent="0.3">
      <c r="A22" s="416" t="s">
        <v>161</v>
      </c>
      <c r="B22" s="409"/>
      <c r="C22" s="411">
        <v>100</v>
      </c>
      <c r="D22" s="416"/>
      <c r="E22" s="409"/>
      <c r="F22" s="423"/>
    </row>
    <row r="23" spans="1:6" ht="15" thickBot="1" x14ac:dyDescent="0.35">
      <c r="A23" s="417" t="s">
        <v>162</v>
      </c>
      <c r="B23" s="413">
        <f>SUM(B19:B21)</f>
        <v>36293.371899585043</v>
      </c>
      <c r="C23" s="414">
        <f>SUM(C18:C22)</f>
        <v>200</v>
      </c>
      <c r="D23" s="417" t="s">
        <v>163</v>
      </c>
      <c r="E23" s="415"/>
      <c r="F23" s="424">
        <f>B21-(B19+B20)</f>
        <v>-9253.3718995850431</v>
      </c>
    </row>
    <row r="33" spans="1:6" ht="15" thickBot="1" x14ac:dyDescent="0.35">
      <c r="A33" s="400"/>
      <c r="B33" s="400"/>
      <c r="C33" s="400"/>
      <c r="D33" s="400"/>
      <c r="E33" s="400"/>
      <c r="F33" s="426"/>
    </row>
    <row r="34" spans="1:6" s="404" customFormat="1" ht="31.2" customHeight="1" x14ac:dyDescent="0.25">
      <c r="A34" s="401" t="s">
        <v>165</v>
      </c>
      <c r="B34" s="402"/>
      <c r="C34" s="403"/>
      <c r="D34" s="406" t="s">
        <v>154</v>
      </c>
      <c r="E34" s="407"/>
      <c r="F34" s="408"/>
    </row>
    <row r="35" spans="1:6" x14ac:dyDescent="0.3">
      <c r="A35" s="419" t="s">
        <v>155</v>
      </c>
      <c r="B35" s="388">
        <v>0</v>
      </c>
      <c r="C35" s="390">
        <v>0</v>
      </c>
      <c r="D35" s="421" t="s">
        <v>156</v>
      </c>
      <c r="F35" s="427">
        <f>((B37+B36+F40)/B40)*100</f>
        <v>44.551763427148288</v>
      </c>
    </row>
    <row r="36" spans="1:6" x14ac:dyDescent="0.3">
      <c r="A36" s="419" t="s">
        <v>157</v>
      </c>
      <c r="B36" s="392">
        <f>'Crop Comparison'!E27</f>
        <v>10595.19931547094</v>
      </c>
      <c r="C36" s="391">
        <f>B36/$B$40*100</f>
        <v>34.697802078282756</v>
      </c>
      <c r="D36" s="421" t="s">
        <v>154</v>
      </c>
      <c r="F36" s="428">
        <v>1</v>
      </c>
    </row>
    <row r="37" spans="1:6" x14ac:dyDescent="0.3">
      <c r="A37" s="419" t="s">
        <v>158</v>
      </c>
      <c r="B37" s="392">
        <f>'Crop Comparison'!E29</f>
        <v>6336.2800000000007</v>
      </c>
      <c r="C37" s="391">
        <f>B37/$B$40*100</f>
        <v>20.75043449456895</v>
      </c>
      <c r="D37" s="421" t="s">
        <v>159</v>
      </c>
      <c r="F37" s="427">
        <f>C40-F36-F35</f>
        <v>154.44823657285173</v>
      </c>
    </row>
    <row r="38" spans="1:6" x14ac:dyDescent="0.3">
      <c r="A38" s="419" t="s">
        <v>160</v>
      </c>
      <c r="B38" s="392">
        <f>'Crop Comparison'!E8</f>
        <v>13604.170439999998</v>
      </c>
      <c r="C38" s="391">
        <f>B38/$B$40*100</f>
        <v>44.551763427148288</v>
      </c>
      <c r="D38" s="419"/>
      <c r="F38" s="428"/>
    </row>
    <row r="39" spans="1:6" x14ac:dyDescent="0.3">
      <c r="A39" s="419" t="s">
        <v>161</v>
      </c>
      <c r="C39" s="390">
        <v>100</v>
      </c>
      <c r="D39" s="419"/>
      <c r="F39" s="428"/>
    </row>
    <row r="40" spans="1:6" ht="15" thickBot="1" x14ac:dyDescent="0.35">
      <c r="A40" s="420" t="s">
        <v>162</v>
      </c>
      <c r="B40" s="394">
        <f>SUM(B36:B38)</f>
        <v>30535.649755470939</v>
      </c>
      <c r="C40" s="395">
        <f>SUM(C35:C39)</f>
        <v>200</v>
      </c>
      <c r="D40" s="420" t="s">
        <v>163</v>
      </c>
      <c r="E40" s="396"/>
      <c r="F40" s="429">
        <f>B38-(B36+B37)</f>
        <v>-3327.3088754709424</v>
      </c>
    </row>
    <row r="50" spans="1:6" ht="15" thickBot="1" x14ac:dyDescent="0.35"/>
    <row r="51" spans="1:6" s="404" customFormat="1" ht="31.2" customHeight="1" x14ac:dyDescent="0.25">
      <c r="A51" s="401" t="s">
        <v>166</v>
      </c>
      <c r="B51" s="402"/>
      <c r="C51" s="403"/>
      <c r="D51" s="406" t="s">
        <v>154</v>
      </c>
      <c r="E51" s="407"/>
      <c r="F51" s="408"/>
    </row>
    <row r="52" spans="1:6" x14ac:dyDescent="0.3">
      <c r="A52" s="419" t="s">
        <v>155</v>
      </c>
      <c r="B52" s="388">
        <v>0</v>
      </c>
      <c r="C52" s="390">
        <v>0</v>
      </c>
      <c r="D52" s="421" t="s">
        <v>156</v>
      </c>
      <c r="F52" s="427">
        <f>((B54+B53+F57)/B57)*100</f>
        <v>41.318448906965727</v>
      </c>
    </row>
    <row r="53" spans="1:6" x14ac:dyDescent="0.3">
      <c r="A53" s="419" t="s">
        <v>157</v>
      </c>
      <c r="B53" s="392">
        <f>'Crop Comparison'!F27</f>
        <v>15395.524001437616</v>
      </c>
      <c r="C53" s="391">
        <f>B53/$B$57*100</f>
        <v>40.731162315504456</v>
      </c>
      <c r="D53" s="421" t="s">
        <v>154</v>
      </c>
      <c r="F53" s="428">
        <v>1</v>
      </c>
    </row>
    <row r="54" spans="1:6" x14ac:dyDescent="0.3">
      <c r="A54" s="419" t="s">
        <v>158</v>
      </c>
      <c r="B54" s="392">
        <f>'Crop Comparison'!F29</f>
        <v>6784.8700000000008</v>
      </c>
      <c r="C54" s="391">
        <f>B54/$B$57*100</f>
        <v>17.95038877752982</v>
      </c>
      <c r="D54" s="421" t="s">
        <v>159</v>
      </c>
      <c r="F54" s="427">
        <f>C57-F53-F52</f>
        <v>157.68155109303427</v>
      </c>
    </row>
    <row r="55" spans="1:6" x14ac:dyDescent="0.3">
      <c r="A55" s="419" t="s">
        <v>160</v>
      </c>
      <c r="B55" s="392">
        <f>'Crop Comparison'!F8</f>
        <v>15617.505999999999</v>
      </c>
      <c r="C55" s="391">
        <f>B55/$B$57*100</f>
        <v>41.318448906965727</v>
      </c>
      <c r="D55" s="419"/>
      <c r="F55" s="428"/>
    </row>
    <row r="56" spans="1:6" x14ac:dyDescent="0.3">
      <c r="A56" s="419" t="s">
        <v>161</v>
      </c>
      <c r="C56" s="390">
        <v>100</v>
      </c>
      <c r="D56" s="419"/>
      <c r="F56" s="428"/>
    </row>
    <row r="57" spans="1:6" ht="15" thickBot="1" x14ac:dyDescent="0.35">
      <c r="A57" s="420" t="s">
        <v>162</v>
      </c>
      <c r="B57" s="394">
        <f>SUM(B53:B55)</f>
        <v>37797.900001437614</v>
      </c>
      <c r="C57" s="395">
        <f>SUM(C52:C56)</f>
        <v>200</v>
      </c>
      <c r="D57" s="420" t="s">
        <v>163</v>
      </c>
      <c r="E57" s="396"/>
      <c r="F57" s="429">
        <f>B55-(B53+B54)</f>
        <v>-6562.8880014376173</v>
      </c>
    </row>
    <row r="70" spans="1:6" ht="15" thickBot="1" x14ac:dyDescent="0.35"/>
    <row r="71" spans="1:6" x14ac:dyDescent="0.3">
      <c r="A71" s="397" t="s">
        <v>167</v>
      </c>
      <c r="B71" s="398"/>
      <c r="C71" s="399"/>
      <c r="D71" s="397" t="s">
        <v>154</v>
      </c>
      <c r="E71" s="398"/>
      <c r="F71" s="399"/>
    </row>
    <row r="72" spans="1:6" x14ac:dyDescent="0.3">
      <c r="A72" s="389" t="s">
        <v>155</v>
      </c>
      <c r="B72" s="388">
        <v>0</v>
      </c>
      <c r="C72" s="390">
        <v>0</v>
      </c>
      <c r="D72" s="388" t="s">
        <v>156</v>
      </c>
      <c r="F72" s="427">
        <f>((B74+B73+F77)/B77)*100</f>
        <v>55.645476359001691</v>
      </c>
    </row>
    <row r="73" spans="1:6" x14ac:dyDescent="0.3">
      <c r="A73" s="389" t="s">
        <v>157</v>
      </c>
      <c r="B73" s="392">
        <f>'Crop Comparison'!H27</f>
        <v>11110.27368287727</v>
      </c>
      <c r="C73" s="391">
        <f>B73/$B$77*100</f>
        <v>25.949004681131001</v>
      </c>
      <c r="D73" s="388" t="s">
        <v>154</v>
      </c>
      <c r="F73" s="428">
        <v>1</v>
      </c>
    </row>
    <row r="74" spans="1:6" x14ac:dyDescent="0.3">
      <c r="A74" s="389" t="s">
        <v>158</v>
      </c>
      <c r="B74" s="392">
        <f>'Crop Comparison'!H29</f>
        <v>7880.47</v>
      </c>
      <c r="C74" s="391">
        <f t="shared" ref="C74:C75" si="0">B74/$B$77*100</f>
        <v>18.405518959867308</v>
      </c>
      <c r="D74" s="388" t="s">
        <v>159</v>
      </c>
      <c r="F74" s="427">
        <f>C77-F73-F72</f>
        <v>143.35452364099831</v>
      </c>
    </row>
    <row r="75" spans="1:6" x14ac:dyDescent="0.3">
      <c r="A75" s="389" t="s">
        <v>160</v>
      </c>
      <c r="B75" s="392">
        <f>'Crop Comparison'!H8</f>
        <v>23825.055302107245</v>
      </c>
      <c r="C75" s="391">
        <f t="shared" si="0"/>
        <v>55.645476359001691</v>
      </c>
      <c r="D75" s="389"/>
      <c r="F75" s="428"/>
    </row>
    <row r="76" spans="1:6" x14ac:dyDescent="0.3">
      <c r="A76" s="389" t="s">
        <v>161</v>
      </c>
      <c r="C76" s="390">
        <v>100</v>
      </c>
      <c r="D76" s="389"/>
      <c r="F76" s="428"/>
    </row>
    <row r="77" spans="1:6" ht="15" thickBot="1" x14ac:dyDescent="0.35">
      <c r="A77" s="393" t="s">
        <v>162</v>
      </c>
      <c r="B77" s="394">
        <f>SUM(B73:B75)</f>
        <v>42815.798984984518</v>
      </c>
      <c r="C77" s="395">
        <f>SUM(C72:C76)</f>
        <v>200</v>
      </c>
      <c r="D77" s="393" t="s">
        <v>163</v>
      </c>
      <c r="E77" s="396"/>
      <c r="F77" s="429">
        <f>B75-(B73+B74)</f>
        <v>4834.3116192299749</v>
      </c>
    </row>
  </sheetData>
  <mergeCells count="10">
    <mergeCell ref="A51:C51"/>
    <mergeCell ref="D51:F51"/>
    <mergeCell ref="A71:C71"/>
    <mergeCell ref="D71:F71"/>
    <mergeCell ref="A1:C1"/>
    <mergeCell ref="D1:F1"/>
    <mergeCell ref="A17:C17"/>
    <mergeCell ref="D17:F17"/>
    <mergeCell ref="A34:C34"/>
    <mergeCell ref="D34:F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6"/>
  <sheetViews>
    <sheetView zoomScale="70" zoomScaleNormal="70" zoomScaleSheetLayoutView="90" workbookViewId="0">
      <selection activeCell="V20" sqref="V20"/>
    </sheetView>
  </sheetViews>
  <sheetFormatPr defaultColWidth="9.109375" defaultRowHeight="14.4" x14ac:dyDescent="0.3"/>
  <cols>
    <col min="1" max="1" width="41.6640625" style="93" customWidth="1"/>
    <col min="2" max="2" width="18.33203125" style="93" customWidth="1"/>
    <col min="3" max="3" width="42" style="93" customWidth="1"/>
    <col min="4" max="4" width="14.44140625" style="93" customWidth="1"/>
    <col min="5" max="5" width="14" style="93" customWidth="1"/>
    <col min="6" max="8" width="11.88671875" style="93" customWidth="1"/>
    <col min="9" max="9" width="12.88671875" style="93" bestFit="1" customWidth="1"/>
    <col min="10" max="10" width="12.44140625" style="93" bestFit="1" customWidth="1"/>
    <col min="11" max="15" width="12.6640625" style="93" hidden="1" customWidth="1"/>
    <col min="16" max="26" width="12.6640625" style="93" customWidth="1"/>
    <col min="27" max="16384" width="9.109375" style="93"/>
  </cols>
  <sheetData>
    <row r="1" spans="1:15" ht="31.5" customHeight="1" thickBot="1" x14ac:dyDescent="0.35">
      <c r="A1" s="78" t="s">
        <v>41</v>
      </c>
      <c r="B1" s="90"/>
      <c r="C1" s="90"/>
      <c r="D1" s="90"/>
      <c r="E1" s="79" t="s">
        <v>42</v>
      </c>
      <c r="F1" s="79"/>
      <c r="G1" s="79"/>
      <c r="H1" s="91"/>
      <c r="I1" s="92"/>
    </row>
    <row r="2" spans="1:15" ht="15" thickBot="1" x14ac:dyDescent="0.35">
      <c r="A2" s="94"/>
      <c r="B2" s="95"/>
      <c r="C2" s="96"/>
      <c r="D2" s="96"/>
      <c r="E2" s="96"/>
      <c r="F2" s="96"/>
      <c r="G2" s="96"/>
      <c r="H2" s="96"/>
      <c r="I2" s="97"/>
    </row>
    <row r="3" spans="1:15" ht="36.6" customHeight="1" thickBot="1" x14ac:dyDescent="0.35">
      <c r="A3" s="98" t="s">
        <v>43</v>
      </c>
      <c r="B3" s="99"/>
      <c r="C3" s="99"/>
      <c r="D3" s="100"/>
      <c r="E3" s="191">
        <f>'Pryse + Sensatiwiteitsanali'!B26</f>
        <v>3391.84</v>
      </c>
      <c r="F3" s="100" t="s">
        <v>44</v>
      </c>
      <c r="G3" s="102"/>
      <c r="H3" s="102"/>
      <c r="I3" s="103"/>
    </row>
    <row r="4" spans="1:15" ht="15" thickBot="1" x14ac:dyDescent="0.35">
      <c r="A4" s="104"/>
      <c r="B4" s="105"/>
      <c r="C4" s="105"/>
      <c r="D4" s="106"/>
      <c r="E4" s="107"/>
      <c r="F4" s="108"/>
      <c r="G4" s="105"/>
      <c r="H4" s="109"/>
      <c r="I4" s="109"/>
    </row>
    <row r="5" spans="1:15" ht="15" thickBot="1" x14ac:dyDescent="0.35">
      <c r="A5" s="110" t="s">
        <v>45</v>
      </c>
      <c r="B5" s="105"/>
      <c r="C5" s="105"/>
      <c r="D5" s="111">
        <v>3</v>
      </c>
      <c r="E5" s="111">
        <v>3.5</v>
      </c>
      <c r="F5" s="111">
        <v>4</v>
      </c>
      <c r="G5" s="111">
        <v>4.5</v>
      </c>
      <c r="H5" s="111">
        <v>5</v>
      </c>
      <c r="I5" s="111">
        <v>5.5</v>
      </c>
      <c r="M5" s="112"/>
      <c r="N5" s="112"/>
    </row>
    <row r="6" spans="1:15" ht="15" thickBot="1" x14ac:dyDescent="0.35">
      <c r="A6" s="113" t="s">
        <v>46</v>
      </c>
      <c r="B6" s="114"/>
      <c r="C6" s="115"/>
      <c r="D6" s="172">
        <v>10121.520000000002</v>
      </c>
      <c r="E6" s="172">
        <v>11808.440000000002</v>
      </c>
      <c r="F6" s="172">
        <v>13495.360000000002</v>
      </c>
      <c r="G6" s="172">
        <v>15182.280000000002</v>
      </c>
      <c r="H6" s="172">
        <v>16869.200000000004</v>
      </c>
      <c r="I6" s="172">
        <v>18556.120000000003</v>
      </c>
      <c r="M6" s="117"/>
      <c r="N6" s="117"/>
    </row>
    <row r="7" spans="1:15" ht="15" thickBot="1" x14ac:dyDescent="0.35">
      <c r="A7" s="118"/>
      <c r="B7" s="119"/>
      <c r="C7" s="119"/>
      <c r="D7" s="173"/>
      <c r="E7" s="173"/>
      <c r="F7" s="173"/>
      <c r="G7" s="173"/>
      <c r="H7" s="173"/>
      <c r="I7" s="173"/>
      <c r="M7" s="80" t="s">
        <v>47</v>
      </c>
      <c r="N7" s="80"/>
      <c r="O7" s="80"/>
    </row>
    <row r="8" spans="1:15" ht="15" thickBot="1" x14ac:dyDescent="0.35">
      <c r="A8" s="121" t="s">
        <v>48</v>
      </c>
      <c r="B8" s="122"/>
      <c r="C8" s="123"/>
      <c r="D8" s="174"/>
      <c r="E8" s="174"/>
      <c r="F8" s="174"/>
      <c r="G8" s="174"/>
      <c r="H8" s="174"/>
      <c r="I8" s="174"/>
      <c r="M8" s="81" t="s">
        <v>49</v>
      </c>
      <c r="N8" s="81" t="s">
        <v>50</v>
      </c>
      <c r="O8" s="81" t="s">
        <v>51</v>
      </c>
    </row>
    <row r="9" spans="1:15" x14ac:dyDescent="0.3">
      <c r="A9" s="125" t="s">
        <v>52</v>
      </c>
      <c r="B9" s="126"/>
      <c r="C9" s="126"/>
      <c r="D9" s="175">
        <v>1444.3623</v>
      </c>
      <c r="E9" s="175">
        <v>1444.3623</v>
      </c>
      <c r="F9" s="175">
        <v>1604.847</v>
      </c>
      <c r="G9" s="175">
        <v>1925.8164000000002</v>
      </c>
      <c r="H9" s="175">
        <v>1965.9375750000002</v>
      </c>
      <c r="I9" s="175">
        <v>2086.3011000000001</v>
      </c>
      <c r="K9" s="127"/>
      <c r="M9" s="82">
        <f>D5</f>
        <v>3</v>
      </c>
      <c r="N9" s="82">
        <f>D25</f>
        <v>13721.825352201773</v>
      </c>
      <c r="O9" s="82">
        <f>D27</f>
        <v>7127.22</v>
      </c>
    </row>
    <row r="10" spans="1:15" x14ac:dyDescent="0.3">
      <c r="A10" s="128" t="s">
        <v>53</v>
      </c>
      <c r="B10" s="129"/>
      <c r="C10" s="129"/>
      <c r="D10" s="176">
        <v>4093.5699999999997</v>
      </c>
      <c r="E10" s="176">
        <v>4759.165</v>
      </c>
      <c r="F10" s="176">
        <v>5424.76</v>
      </c>
      <c r="G10" s="176">
        <v>6090.3549999999996</v>
      </c>
      <c r="H10" s="176">
        <v>6755.95</v>
      </c>
      <c r="I10" s="176">
        <v>7421.5450000000001</v>
      </c>
      <c r="K10" s="127"/>
      <c r="M10" s="82">
        <f>E5</f>
        <v>3.5</v>
      </c>
      <c r="N10" s="82">
        <f>E25</f>
        <v>14591.074782153148</v>
      </c>
      <c r="O10" s="82">
        <f>E27</f>
        <v>7127.22</v>
      </c>
    </row>
    <row r="11" spans="1:15" x14ac:dyDescent="0.3">
      <c r="A11" s="128" t="s">
        <v>54</v>
      </c>
      <c r="B11" s="129"/>
      <c r="C11" s="129"/>
      <c r="D11" s="176">
        <v>800</v>
      </c>
      <c r="E11" s="176">
        <v>800</v>
      </c>
      <c r="F11" s="176">
        <v>800</v>
      </c>
      <c r="G11" s="176">
        <v>800</v>
      </c>
      <c r="H11" s="176">
        <v>800</v>
      </c>
      <c r="I11" s="176">
        <v>800</v>
      </c>
      <c r="K11" s="127"/>
      <c r="M11" s="82">
        <f>F5</f>
        <v>4</v>
      </c>
      <c r="N11" s="82">
        <f>F25</f>
        <v>15646.151899585044</v>
      </c>
      <c r="O11" s="82">
        <f>F27</f>
        <v>7127.22</v>
      </c>
    </row>
    <row r="12" spans="1:15" x14ac:dyDescent="0.3">
      <c r="A12" s="128" t="s">
        <v>55</v>
      </c>
      <c r="B12" s="129"/>
      <c r="C12" s="129"/>
      <c r="D12" s="176">
        <v>1466.8167679999999</v>
      </c>
      <c r="E12" s="176">
        <v>1499.936768</v>
      </c>
      <c r="F12" s="176">
        <v>1533.0567679999999</v>
      </c>
      <c r="G12" s="176">
        <v>1566.1767679999998</v>
      </c>
      <c r="H12" s="176">
        <v>1599.2967679999999</v>
      </c>
      <c r="I12" s="176">
        <v>1632.416768</v>
      </c>
      <c r="K12" s="127"/>
      <c r="M12" s="82">
        <f>G5</f>
        <v>4.5</v>
      </c>
      <c r="N12" s="82">
        <f>G25</f>
        <v>16887.056704497452</v>
      </c>
      <c r="O12" s="82">
        <f>G27</f>
        <v>7127.22</v>
      </c>
    </row>
    <row r="13" spans="1:15" x14ac:dyDescent="0.3">
      <c r="A13" s="128" t="s">
        <v>56</v>
      </c>
      <c r="B13" s="129"/>
      <c r="C13" s="129"/>
      <c r="D13" s="176">
        <v>1334.2554</v>
      </c>
      <c r="E13" s="176">
        <v>1339.0087333333331</v>
      </c>
      <c r="F13" s="176">
        <v>1343.7620666666667</v>
      </c>
      <c r="G13" s="176">
        <v>1348.5153999999998</v>
      </c>
      <c r="H13" s="176">
        <v>1353.2687333333333</v>
      </c>
      <c r="I13" s="176">
        <v>1358.0220666666664</v>
      </c>
      <c r="K13" s="127"/>
      <c r="M13" s="82">
        <f>H5</f>
        <v>5</v>
      </c>
      <c r="N13" s="82">
        <f>H25</f>
        <v>17802.763056318967</v>
      </c>
      <c r="O13" s="82">
        <f>H27</f>
        <v>7127.22</v>
      </c>
    </row>
    <row r="14" spans="1:15" x14ac:dyDescent="0.3">
      <c r="A14" s="128" t="s">
        <v>57</v>
      </c>
      <c r="B14" s="129"/>
      <c r="C14" s="129"/>
      <c r="D14" s="176">
        <v>1345.3999999999999</v>
      </c>
      <c r="E14" s="176">
        <v>1345.3999999999999</v>
      </c>
      <c r="F14" s="176">
        <v>1345.3999999999999</v>
      </c>
      <c r="G14" s="176">
        <v>1345.3999999999999</v>
      </c>
      <c r="H14" s="176">
        <v>1345.3999999999999</v>
      </c>
      <c r="I14" s="176">
        <v>1345.3999999999999</v>
      </c>
      <c r="K14" s="127"/>
      <c r="M14" s="82">
        <f>I5</f>
        <v>5.5</v>
      </c>
      <c r="N14" s="82">
        <f>I25</f>
        <v>18811.383251880728</v>
      </c>
      <c r="O14" s="82">
        <f>I27</f>
        <v>7127.22</v>
      </c>
    </row>
    <row r="15" spans="1:15" x14ac:dyDescent="0.3">
      <c r="A15" s="128" t="s">
        <v>58</v>
      </c>
      <c r="B15" s="129"/>
      <c r="C15" s="129"/>
      <c r="D15" s="176">
        <v>582.65</v>
      </c>
      <c r="E15" s="176">
        <v>582.65</v>
      </c>
      <c r="F15" s="176">
        <v>582.65</v>
      </c>
      <c r="G15" s="176">
        <v>582.65</v>
      </c>
      <c r="H15" s="176">
        <v>582.65</v>
      </c>
      <c r="I15" s="176">
        <v>582.65</v>
      </c>
      <c r="K15" s="127"/>
      <c r="M15" s="130"/>
      <c r="N15" s="130"/>
    </row>
    <row r="16" spans="1:15" x14ac:dyDescent="0.3">
      <c r="A16" s="128" t="s">
        <v>59</v>
      </c>
      <c r="B16" s="129"/>
      <c r="C16" s="129"/>
      <c r="D16" s="176"/>
      <c r="E16" s="176"/>
      <c r="F16" s="176"/>
      <c r="G16" s="176"/>
      <c r="H16" s="176"/>
      <c r="I16" s="176"/>
      <c r="K16" s="127"/>
      <c r="M16" s="130"/>
      <c r="N16" s="130"/>
    </row>
    <row r="17" spans="1:14" x14ac:dyDescent="0.3">
      <c r="A17" s="128" t="s">
        <v>60</v>
      </c>
      <c r="B17" s="129"/>
      <c r="C17" s="129"/>
      <c r="D17" s="176">
        <v>1079.4137396812939</v>
      </c>
      <c r="E17" s="176">
        <v>1147.7923812844749</v>
      </c>
      <c r="F17" s="176">
        <v>1230.7889730459769</v>
      </c>
      <c r="G17" s="176">
        <v>1328.4035149658</v>
      </c>
      <c r="H17" s="176">
        <v>1400.4366441085613</v>
      </c>
      <c r="I17" s="176">
        <v>1479.7787483304833</v>
      </c>
      <c r="K17" s="127"/>
      <c r="M17" s="130"/>
      <c r="N17" s="130"/>
    </row>
    <row r="18" spans="1:14" x14ac:dyDescent="0.3">
      <c r="A18" s="128" t="s">
        <v>61</v>
      </c>
      <c r="B18" s="129"/>
      <c r="C18" s="129"/>
      <c r="D18" s="176"/>
      <c r="E18" s="176"/>
      <c r="F18" s="176"/>
      <c r="G18" s="176"/>
      <c r="H18" s="176"/>
      <c r="I18" s="176"/>
      <c r="K18" s="127"/>
      <c r="M18" s="130"/>
      <c r="N18" s="130"/>
    </row>
    <row r="19" spans="1:14" x14ac:dyDescent="0.3">
      <c r="A19" s="128" t="s">
        <v>62</v>
      </c>
      <c r="B19" s="129"/>
      <c r="C19" s="129"/>
      <c r="D19" s="176">
        <v>283.40256000000005</v>
      </c>
      <c r="E19" s="176">
        <v>330.63632000000007</v>
      </c>
      <c r="F19" s="176">
        <v>377.87008000000009</v>
      </c>
      <c r="G19" s="176">
        <v>425.1038400000001</v>
      </c>
      <c r="H19" s="176">
        <v>472.33760000000012</v>
      </c>
      <c r="I19" s="176">
        <v>519.57136000000014</v>
      </c>
      <c r="K19" s="127"/>
      <c r="M19" s="130"/>
      <c r="N19" s="130"/>
    </row>
    <row r="20" spans="1:14" x14ac:dyDescent="0.3">
      <c r="A20" s="128" t="s">
        <v>63</v>
      </c>
      <c r="B20" s="129"/>
      <c r="C20" s="129"/>
      <c r="D20" s="176">
        <v>200</v>
      </c>
      <c r="E20" s="176">
        <v>200</v>
      </c>
      <c r="F20" s="176">
        <v>200</v>
      </c>
      <c r="G20" s="176">
        <v>200</v>
      </c>
      <c r="H20" s="176">
        <v>200</v>
      </c>
      <c r="I20" s="176">
        <v>200</v>
      </c>
      <c r="K20" s="127"/>
      <c r="M20" s="130"/>
      <c r="N20" s="130"/>
    </row>
    <row r="21" spans="1:14" x14ac:dyDescent="0.3">
      <c r="A21" s="128" t="s">
        <v>64</v>
      </c>
      <c r="B21" s="129"/>
      <c r="C21" s="129"/>
      <c r="D21" s="176">
        <v>300</v>
      </c>
      <c r="E21" s="176">
        <v>300</v>
      </c>
      <c r="F21" s="176">
        <v>300</v>
      </c>
      <c r="G21" s="176">
        <v>300</v>
      </c>
      <c r="H21" s="176">
        <v>300</v>
      </c>
      <c r="I21" s="176">
        <v>300</v>
      </c>
      <c r="K21" s="127"/>
      <c r="M21" s="130"/>
      <c r="N21" s="130"/>
    </row>
    <row r="22" spans="1:14" x14ac:dyDescent="0.3">
      <c r="A22" s="128" t="s">
        <v>65</v>
      </c>
      <c r="B22" s="129"/>
      <c r="C22" s="129"/>
      <c r="D22" s="176"/>
      <c r="E22" s="176"/>
      <c r="F22" s="176"/>
      <c r="G22" s="176"/>
      <c r="H22" s="176"/>
      <c r="I22" s="176"/>
      <c r="K22" s="127"/>
      <c r="M22" s="130"/>
      <c r="N22" s="130"/>
    </row>
    <row r="23" spans="1:14" x14ac:dyDescent="0.3">
      <c r="A23" s="128" t="s">
        <v>66</v>
      </c>
      <c r="B23" s="129"/>
      <c r="C23" s="129"/>
      <c r="D23" s="176"/>
      <c r="E23" s="176"/>
      <c r="F23" s="176"/>
      <c r="G23" s="176"/>
      <c r="H23" s="176"/>
      <c r="I23" s="176"/>
      <c r="K23" s="127"/>
      <c r="M23" s="130"/>
      <c r="N23" s="130"/>
    </row>
    <row r="24" spans="1:14" ht="15" thickBot="1" x14ac:dyDescent="0.35">
      <c r="A24" s="128" t="s">
        <v>67</v>
      </c>
      <c r="B24" s="129"/>
      <c r="C24" s="129"/>
      <c r="D24" s="176">
        <v>791.95458452047922</v>
      </c>
      <c r="E24" s="176">
        <v>842.12327953534066</v>
      </c>
      <c r="F24" s="176">
        <v>903.01701187239939</v>
      </c>
      <c r="G24" s="176">
        <v>974.63578153165508</v>
      </c>
      <c r="H24" s="176">
        <v>1027.485735877066</v>
      </c>
      <c r="I24" s="176">
        <v>1085.6982088835755</v>
      </c>
      <c r="K24" s="127"/>
      <c r="M24" s="130"/>
      <c r="N24" s="130"/>
    </row>
    <row r="25" spans="1:14" ht="15" thickBot="1" x14ac:dyDescent="0.35">
      <c r="A25" s="131" t="s">
        <v>68</v>
      </c>
      <c r="B25" s="132"/>
      <c r="C25" s="133"/>
      <c r="D25" s="177">
        <f>SUM(D9:D24)</f>
        <v>13721.825352201773</v>
      </c>
      <c r="E25" s="177">
        <f t="shared" ref="E25:I25" si="0">SUM(E9:E24)</f>
        <v>14591.074782153148</v>
      </c>
      <c r="F25" s="177">
        <f t="shared" si="0"/>
        <v>15646.151899585044</v>
      </c>
      <c r="G25" s="177">
        <f t="shared" si="0"/>
        <v>16887.056704497452</v>
      </c>
      <c r="H25" s="177">
        <f t="shared" si="0"/>
        <v>17802.763056318967</v>
      </c>
      <c r="I25" s="177">
        <f t="shared" si="0"/>
        <v>18811.383251880728</v>
      </c>
      <c r="K25" s="127"/>
      <c r="M25" s="112"/>
      <c r="N25" s="112"/>
    </row>
    <row r="26" spans="1:14" ht="15" thickBot="1" x14ac:dyDescent="0.35">
      <c r="A26" s="135"/>
      <c r="B26" s="136"/>
      <c r="C26" s="136"/>
      <c r="D26" s="178"/>
      <c r="E26" s="178"/>
      <c r="F26" s="178"/>
      <c r="G26" s="178"/>
      <c r="H26" s="178"/>
      <c r="I26" s="178"/>
      <c r="K26" s="127"/>
    </row>
    <row r="27" spans="1:14" ht="15" thickBot="1" x14ac:dyDescent="0.35">
      <c r="A27" s="138" t="s">
        <v>69</v>
      </c>
      <c r="B27" s="139"/>
      <c r="C27" s="140"/>
      <c r="D27" s="179">
        <v>7127.22</v>
      </c>
      <c r="E27" s="180">
        <v>7127.22</v>
      </c>
      <c r="F27" s="180">
        <v>7127.22</v>
      </c>
      <c r="G27" s="180">
        <v>7127.22</v>
      </c>
      <c r="H27" s="180">
        <v>7127.22</v>
      </c>
      <c r="I27" s="180">
        <v>7127.22</v>
      </c>
      <c r="K27" s="127"/>
    </row>
    <row r="28" spans="1:14" ht="15" thickBot="1" x14ac:dyDescent="0.35">
      <c r="A28" s="135"/>
      <c r="B28" s="136"/>
      <c r="C28" s="136"/>
      <c r="D28" s="178"/>
      <c r="E28" s="178"/>
      <c r="F28" s="178"/>
      <c r="G28" s="178"/>
      <c r="H28" s="178"/>
      <c r="I28" s="178"/>
      <c r="K28" s="127"/>
    </row>
    <row r="29" spans="1:14" ht="15" thickBot="1" x14ac:dyDescent="0.35">
      <c r="A29" s="131" t="s">
        <v>70</v>
      </c>
      <c r="B29" s="132"/>
      <c r="C29" s="133"/>
      <c r="D29" s="177">
        <f>D25+D27</f>
        <v>20849.045352201774</v>
      </c>
      <c r="E29" s="177">
        <f t="shared" ref="E29:I29" si="1">E25+E27</f>
        <v>21718.294782153149</v>
      </c>
      <c r="F29" s="177">
        <f t="shared" si="1"/>
        <v>22773.371899585043</v>
      </c>
      <c r="G29" s="177">
        <f t="shared" si="1"/>
        <v>24014.276704497453</v>
      </c>
      <c r="H29" s="177">
        <f t="shared" si="1"/>
        <v>24929.983056318968</v>
      </c>
      <c r="I29" s="177">
        <f t="shared" si="1"/>
        <v>25938.60325188073</v>
      </c>
      <c r="K29" s="127"/>
    </row>
    <row r="30" spans="1:14" ht="15" thickBot="1" x14ac:dyDescent="0.35">
      <c r="A30" s="141"/>
      <c r="B30" s="142"/>
      <c r="C30" s="142"/>
      <c r="D30" s="181"/>
      <c r="E30" s="181"/>
      <c r="F30" s="181"/>
      <c r="G30" s="181"/>
      <c r="H30" s="181"/>
      <c r="I30" s="181"/>
      <c r="K30" s="127"/>
    </row>
    <row r="31" spans="1:14" ht="15" thickBot="1" x14ac:dyDescent="0.35">
      <c r="A31" s="131" t="s">
        <v>71</v>
      </c>
      <c r="B31" s="144"/>
      <c r="C31" s="145"/>
      <c r="D31" s="177">
        <f>D29/D5</f>
        <v>6949.6817840672584</v>
      </c>
      <c r="E31" s="177">
        <f t="shared" ref="E31:I31" si="2">E29/E5</f>
        <v>6205.2270806151855</v>
      </c>
      <c r="F31" s="177">
        <f t="shared" si="2"/>
        <v>5693.3429748962608</v>
      </c>
      <c r="G31" s="177">
        <f t="shared" si="2"/>
        <v>5336.5059343327675</v>
      </c>
      <c r="H31" s="177">
        <f t="shared" si="2"/>
        <v>4985.996611263794</v>
      </c>
      <c r="I31" s="177">
        <f t="shared" si="2"/>
        <v>4716.1096821601323</v>
      </c>
      <c r="K31" s="127"/>
    </row>
    <row r="32" spans="1:14" ht="15" thickBot="1" x14ac:dyDescent="0.35">
      <c r="A32" s="118"/>
      <c r="B32" s="119"/>
      <c r="C32" s="119"/>
      <c r="D32" s="181"/>
      <c r="E32" s="181"/>
      <c r="F32" s="181"/>
      <c r="G32" s="181"/>
      <c r="H32" s="181"/>
      <c r="I32" s="181"/>
      <c r="K32" s="127"/>
    </row>
    <row r="33" spans="1:11" ht="15" thickBot="1" x14ac:dyDescent="0.35">
      <c r="A33" s="146" t="s">
        <v>72</v>
      </c>
      <c r="B33" s="114"/>
      <c r="C33" s="114"/>
      <c r="D33" s="177">
        <f>'Pryse + Sensatiwiteitsanali'!$D$4</f>
        <v>408.16</v>
      </c>
      <c r="E33" s="177">
        <f>'Pryse + Sensatiwiteitsanali'!$D$4</f>
        <v>408.16</v>
      </c>
      <c r="F33" s="177">
        <f>'Pryse + Sensatiwiteitsanali'!$D$4</f>
        <v>408.16</v>
      </c>
      <c r="G33" s="177">
        <f>'Pryse + Sensatiwiteitsanali'!$D$4</f>
        <v>408.16</v>
      </c>
      <c r="H33" s="177">
        <f>'Pryse + Sensatiwiteitsanali'!$D$4</f>
        <v>408.16</v>
      </c>
      <c r="I33" s="177">
        <f>'Pryse + Sensatiwiteitsanali'!$D$4</f>
        <v>408.16</v>
      </c>
      <c r="K33" s="127"/>
    </row>
    <row r="34" spans="1:11" ht="15" thickBot="1" x14ac:dyDescent="0.35">
      <c r="A34" s="118"/>
      <c r="B34" s="119"/>
      <c r="C34" s="119"/>
      <c r="D34" s="181"/>
      <c r="E34" s="181"/>
      <c r="F34" s="181"/>
      <c r="G34" s="181"/>
      <c r="H34" s="181"/>
      <c r="I34" s="181"/>
      <c r="K34" s="127"/>
    </row>
    <row r="35" spans="1:11" ht="15" thickBot="1" x14ac:dyDescent="0.35">
      <c r="A35" s="147" t="s">
        <v>73</v>
      </c>
      <c r="B35" s="148"/>
      <c r="C35" s="149"/>
      <c r="D35" s="182">
        <f>D31+D33</f>
        <v>7357.8417840672582</v>
      </c>
      <c r="E35" s="182">
        <f t="shared" ref="E35:I35" si="3">E31+E33</f>
        <v>6613.3870806151854</v>
      </c>
      <c r="F35" s="182">
        <f t="shared" si="3"/>
        <v>6101.5029748962606</v>
      </c>
      <c r="G35" s="182">
        <f t="shared" si="3"/>
        <v>5744.6659343327674</v>
      </c>
      <c r="H35" s="182">
        <f t="shared" si="3"/>
        <v>5394.1566112637938</v>
      </c>
      <c r="I35" s="182">
        <f t="shared" si="3"/>
        <v>5124.2696821601321</v>
      </c>
      <c r="K35" s="127"/>
    </row>
    <row r="36" spans="1:11" ht="15" thickBot="1" x14ac:dyDescent="0.35">
      <c r="A36" s="190" t="s">
        <v>74</v>
      </c>
      <c r="B36" s="151"/>
      <c r="C36" s="152"/>
      <c r="D36" s="182">
        <f>'Pryse + Sensatiwiteitsanali'!B4</f>
        <v>3800</v>
      </c>
      <c r="E36" s="182">
        <f>$D$36</f>
        <v>3800</v>
      </c>
      <c r="F36" s="182">
        <f>$D$36</f>
        <v>3800</v>
      </c>
      <c r="G36" s="182">
        <f>$D$36</f>
        <v>3800</v>
      </c>
      <c r="H36" s="182">
        <f>$D$36</f>
        <v>3800</v>
      </c>
      <c r="I36" s="182">
        <f>$D$36</f>
        <v>3800</v>
      </c>
      <c r="K36" s="127"/>
    </row>
    <row r="37" spans="1:11" ht="15" thickBot="1" x14ac:dyDescent="0.35">
      <c r="D37" s="183"/>
      <c r="E37" s="183"/>
      <c r="F37" s="183"/>
      <c r="G37" s="183"/>
      <c r="H37" s="183"/>
      <c r="I37" s="183"/>
    </row>
    <row r="38" spans="1:11" s="154" customFormat="1" x14ac:dyDescent="0.3">
      <c r="A38" s="83" t="s">
        <v>75</v>
      </c>
      <c r="B38" s="153"/>
      <c r="C38" s="153"/>
      <c r="D38" s="184">
        <f t="shared" ref="D38:I38" si="4">D6-D25</f>
        <v>-3600.3053522017708</v>
      </c>
      <c r="E38" s="185">
        <f t="shared" si="4"/>
        <v>-2782.6347821531454</v>
      </c>
      <c r="F38" s="184">
        <f t="shared" si="4"/>
        <v>-2150.7918995850414</v>
      </c>
      <c r="G38" s="185">
        <f t="shared" si="4"/>
        <v>-1704.7767044974498</v>
      </c>
      <c r="H38" s="184">
        <f t="shared" si="4"/>
        <v>-933.56305631896248</v>
      </c>
      <c r="I38" s="186">
        <f t="shared" si="4"/>
        <v>-255.26325188072587</v>
      </c>
    </row>
    <row r="39" spans="1:11" s="154" customFormat="1" ht="15" thickBot="1" x14ac:dyDescent="0.35">
      <c r="A39" s="85" t="s">
        <v>76</v>
      </c>
      <c r="B39" s="155"/>
      <c r="C39" s="155"/>
      <c r="D39" s="187">
        <f t="shared" ref="D39:I39" si="5">D6-D29</f>
        <v>-10727.525352201772</v>
      </c>
      <c r="E39" s="188">
        <f t="shared" si="5"/>
        <v>-9909.8547821531465</v>
      </c>
      <c r="F39" s="187">
        <f t="shared" si="5"/>
        <v>-9278.0118995850407</v>
      </c>
      <c r="G39" s="188">
        <f t="shared" si="5"/>
        <v>-8831.996704497451</v>
      </c>
      <c r="H39" s="187">
        <f t="shared" si="5"/>
        <v>-8060.7830563189636</v>
      </c>
      <c r="I39" s="189">
        <f t="shared" si="5"/>
        <v>-7382.483251880727</v>
      </c>
    </row>
    <row r="40" spans="1:11" x14ac:dyDescent="0.3">
      <c r="A40" s="87" t="s">
        <v>168</v>
      </c>
      <c r="B40" s="156"/>
      <c r="C40" s="156"/>
      <c r="D40" s="156"/>
      <c r="E40" s="156"/>
      <c r="F40" s="156"/>
      <c r="G40" s="156"/>
      <c r="H40" s="157"/>
      <c r="I40" s="158"/>
      <c r="J40" s="158"/>
    </row>
    <row r="41" spans="1:11" x14ac:dyDescent="0.3">
      <c r="A41" s="88" t="s">
        <v>77</v>
      </c>
      <c r="B41" s="159"/>
      <c r="C41" s="159"/>
      <c r="D41" s="159"/>
      <c r="E41" s="159"/>
      <c r="F41" s="159"/>
      <c r="G41" s="159"/>
      <c r="H41" s="160"/>
      <c r="I41" s="158"/>
      <c r="J41" s="158"/>
    </row>
    <row r="42" spans="1:11" ht="15" thickBot="1" x14ac:dyDescent="0.35">
      <c r="A42" s="89" t="s">
        <v>78</v>
      </c>
      <c r="B42" s="161"/>
      <c r="C42" s="161"/>
      <c r="D42" s="161"/>
      <c r="E42" s="161"/>
      <c r="F42" s="161"/>
      <c r="G42" s="161"/>
      <c r="H42" s="162"/>
      <c r="I42" s="158"/>
      <c r="J42" s="158"/>
    </row>
    <row r="43" spans="1:11" x14ac:dyDescent="0.3">
      <c r="A43" s="163" t="s">
        <v>79</v>
      </c>
      <c r="B43" s="164"/>
      <c r="C43" s="164"/>
      <c r="D43" s="164"/>
      <c r="E43" s="164"/>
      <c r="F43" s="164"/>
      <c r="G43" s="164"/>
      <c r="H43" s="165"/>
    </row>
    <row r="44" spans="1:11" x14ac:dyDescent="0.3">
      <c r="A44" s="166"/>
      <c r="B44" s="167"/>
      <c r="C44" s="167"/>
      <c r="D44" s="167"/>
      <c r="E44" s="167"/>
      <c r="F44" s="167"/>
      <c r="G44" s="167"/>
      <c r="H44" s="168"/>
    </row>
    <row r="45" spans="1:11" x14ac:dyDescent="0.3">
      <c r="A45" s="166"/>
      <c r="B45" s="167"/>
      <c r="C45" s="167"/>
      <c r="D45" s="167"/>
      <c r="E45" s="167"/>
      <c r="F45" s="167"/>
      <c r="G45" s="167"/>
      <c r="H45" s="168"/>
    </row>
    <row r="46" spans="1:11" ht="15" thickBot="1" x14ac:dyDescent="0.35">
      <c r="A46" s="169"/>
      <c r="B46" s="170"/>
      <c r="C46" s="170"/>
      <c r="D46" s="170"/>
      <c r="E46" s="170"/>
      <c r="F46" s="170"/>
      <c r="G46" s="170"/>
      <c r="H46" s="171"/>
    </row>
  </sheetData>
  <mergeCells count="13">
    <mergeCell ref="A27:C27"/>
    <mergeCell ref="A29:C29"/>
    <mergeCell ref="M7:O7"/>
    <mergeCell ref="A43:H46"/>
    <mergeCell ref="A1:D1"/>
    <mergeCell ref="E1:G1"/>
    <mergeCell ref="A31:C31"/>
    <mergeCell ref="A35:C35"/>
    <mergeCell ref="A3:C3"/>
    <mergeCell ref="A8:C8"/>
    <mergeCell ref="A25:C25"/>
    <mergeCell ref="A38:C38"/>
    <mergeCell ref="A39:C39"/>
  </mergeCells>
  <phoneticPr fontId="0" type="noConversion"/>
  <conditionalFormatting sqref="D38:I39">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64" fitToHeight="0" orientation="portrait" r:id="rId1"/>
  <headerFooter alignWithMargins="0">
    <oddHeader>&amp;F</oddHeader>
    <oddFooter>&amp;A&amp;RPage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6"/>
  <sheetViews>
    <sheetView zoomScale="70" zoomScaleNormal="70" workbookViewId="0">
      <selection activeCell="O30" sqref="O30"/>
    </sheetView>
  </sheetViews>
  <sheetFormatPr defaultColWidth="9.109375" defaultRowHeight="14.4" x14ac:dyDescent="0.3"/>
  <cols>
    <col min="1" max="1" width="41.6640625" style="93" customWidth="1"/>
    <col min="2" max="2" width="18" style="93" customWidth="1"/>
    <col min="3" max="3" width="47.77734375" style="93" customWidth="1"/>
    <col min="4" max="4" width="16.109375" style="93" customWidth="1"/>
    <col min="5" max="8" width="14.33203125" style="93" customWidth="1"/>
    <col min="9" max="9" width="14.44140625" style="93" customWidth="1"/>
    <col min="10" max="14" width="12.6640625" style="93" hidden="1" customWidth="1"/>
    <col min="15" max="25" width="12.6640625" style="93" customWidth="1"/>
    <col min="26" max="16384" width="9.109375" style="93"/>
  </cols>
  <sheetData>
    <row r="1" spans="1:14" ht="36" customHeight="1" thickBot="1" x14ac:dyDescent="0.35">
      <c r="A1" s="195" t="s">
        <v>80</v>
      </c>
      <c r="B1" s="196"/>
      <c r="C1" s="196"/>
      <c r="D1" s="196"/>
      <c r="E1" s="79" t="s">
        <v>81</v>
      </c>
      <c r="F1" s="79"/>
      <c r="G1" s="79"/>
      <c r="H1" s="192"/>
    </row>
    <row r="2" spans="1:14" ht="15" thickBot="1" x14ac:dyDescent="0.35">
      <c r="A2" s="94"/>
      <c r="B2" s="95"/>
      <c r="C2" s="96"/>
      <c r="D2" s="96"/>
      <c r="E2" s="96"/>
      <c r="F2" s="96"/>
      <c r="G2" s="96"/>
      <c r="H2" s="96"/>
    </row>
    <row r="3" spans="1:14" ht="28.2" customHeight="1" thickBot="1" x14ac:dyDescent="0.35">
      <c r="A3" s="98" t="s">
        <v>43</v>
      </c>
      <c r="B3" s="99"/>
      <c r="C3" s="99"/>
      <c r="D3" s="197"/>
      <c r="E3" s="191">
        <f>'Pryse + Sensatiwiteitsanali'!B26</f>
        <v>3391.84</v>
      </c>
      <c r="F3" s="197" t="s">
        <v>44</v>
      </c>
      <c r="G3" s="102"/>
      <c r="H3" s="102"/>
    </row>
    <row r="4" spans="1:14" ht="15" thickBot="1" x14ac:dyDescent="0.35">
      <c r="A4" s="104"/>
      <c r="B4" s="105"/>
      <c r="C4" s="105"/>
      <c r="D4" s="106"/>
      <c r="E4" s="107"/>
      <c r="F4" s="108"/>
      <c r="G4" s="105"/>
      <c r="H4" s="109"/>
    </row>
    <row r="5" spans="1:14" ht="15" thickBot="1" x14ac:dyDescent="0.35">
      <c r="A5" s="110" t="s">
        <v>45</v>
      </c>
      <c r="B5" s="105"/>
      <c r="C5" s="105"/>
      <c r="D5" s="193">
        <v>5</v>
      </c>
      <c r="E5" s="193">
        <v>5.5</v>
      </c>
      <c r="F5" s="193">
        <v>6</v>
      </c>
      <c r="G5" s="193">
        <v>6.5</v>
      </c>
      <c r="H5" s="193">
        <v>7</v>
      </c>
    </row>
    <row r="6" spans="1:14" ht="15" thickBot="1" x14ac:dyDescent="0.35">
      <c r="A6" s="113" t="s">
        <v>46</v>
      </c>
      <c r="B6" s="114"/>
      <c r="C6" s="115"/>
      <c r="D6" s="172">
        <v>15114.2</v>
      </c>
      <c r="E6" s="172">
        <v>16625.620000000003</v>
      </c>
      <c r="F6" s="172">
        <v>18137.04</v>
      </c>
      <c r="G6" s="172">
        <v>19648.46</v>
      </c>
      <c r="H6" s="172">
        <v>21159.88</v>
      </c>
    </row>
    <row r="7" spans="1:14" ht="15" thickBot="1" x14ac:dyDescent="0.35">
      <c r="A7" s="118"/>
      <c r="B7" s="119"/>
      <c r="C7" s="119"/>
      <c r="D7" s="173"/>
      <c r="E7" s="173"/>
      <c r="F7" s="173"/>
      <c r="G7" s="173"/>
      <c r="H7" s="173"/>
      <c r="L7" s="80" t="s">
        <v>82</v>
      </c>
      <c r="M7" s="80"/>
      <c r="N7" s="80"/>
    </row>
    <row r="8" spans="1:14" ht="15" thickBot="1" x14ac:dyDescent="0.35">
      <c r="A8" s="121" t="s">
        <v>48</v>
      </c>
      <c r="B8" s="122"/>
      <c r="C8" s="123"/>
      <c r="D8" s="174"/>
      <c r="E8" s="174"/>
      <c r="F8" s="174"/>
      <c r="G8" s="174"/>
      <c r="H8" s="174"/>
      <c r="L8" s="81" t="s">
        <v>49</v>
      </c>
      <c r="M8" s="81" t="s">
        <v>50</v>
      </c>
      <c r="N8" s="81" t="s">
        <v>51</v>
      </c>
    </row>
    <row r="9" spans="1:14" x14ac:dyDescent="0.3">
      <c r="A9" s="125" t="s">
        <v>52</v>
      </c>
      <c r="B9" s="126"/>
      <c r="C9" s="126"/>
      <c r="D9" s="175">
        <v>1965.9375750000002</v>
      </c>
      <c r="E9" s="175">
        <v>2206.6646249999999</v>
      </c>
      <c r="F9" s="175">
        <v>2447.3916750000003</v>
      </c>
      <c r="G9" s="175">
        <v>2688.1187250000003</v>
      </c>
      <c r="H9" s="175">
        <v>2246.7858000000001</v>
      </c>
      <c r="L9" s="82">
        <f>D5</f>
        <v>5</v>
      </c>
      <c r="M9" s="82">
        <f>D25</f>
        <v>19478.696343476051</v>
      </c>
      <c r="N9" s="82">
        <f>D27</f>
        <v>7328.6099999999988</v>
      </c>
    </row>
    <row r="10" spans="1:14" x14ac:dyDescent="0.3">
      <c r="A10" s="128" t="s">
        <v>53</v>
      </c>
      <c r="B10" s="129"/>
      <c r="C10" s="129"/>
      <c r="D10" s="176">
        <v>6755.95</v>
      </c>
      <c r="E10" s="176">
        <v>7421.5450000000001</v>
      </c>
      <c r="F10" s="176">
        <v>8087.1399999999994</v>
      </c>
      <c r="G10" s="176">
        <v>8752.7350000000006</v>
      </c>
      <c r="H10" s="176">
        <v>9418.33</v>
      </c>
      <c r="L10" s="82">
        <f>E5</f>
        <v>5.5</v>
      </c>
      <c r="M10" s="82">
        <f>E25</f>
        <v>20615.692898996906</v>
      </c>
      <c r="N10" s="82">
        <f>E27</f>
        <v>7328.6099999999988</v>
      </c>
    </row>
    <row r="11" spans="1:14" x14ac:dyDescent="0.3">
      <c r="A11" s="128" t="s">
        <v>54</v>
      </c>
      <c r="B11" s="129"/>
      <c r="C11" s="129"/>
      <c r="D11" s="176">
        <v>800</v>
      </c>
      <c r="E11" s="176">
        <v>800</v>
      </c>
      <c r="F11" s="176">
        <v>800</v>
      </c>
      <c r="G11" s="176">
        <v>800</v>
      </c>
      <c r="H11" s="176">
        <v>800</v>
      </c>
      <c r="L11" s="82">
        <f>F5</f>
        <v>6</v>
      </c>
      <c r="M11" s="82">
        <f>F25</f>
        <v>21752.689454517753</v>
      </c>
      <c r="N11" s="82">
        <f>F27</f>
        <v>7328.6099999999988</v>
      </c>
    </row>
    <row r="12" spans="1:14" x14ac:dyDescent="0.3">
      <c r="A12" s="128" t="s">
        <v>55</v>
      </c>
      <c r="B12" s="129"/>
      <c r="C12" s="129"/>
      <c r="D12" s="176">
        <v>1365.1272289999999</v>
      </c>
      <c r="E12" s="176">
        <v>1388.7522290000002</v>
      </c>
      <c r="F12" s="176">
        <v>1412.3772290000002</v>
      </c>
      <c r="G12" s="176">
        <v>1436.0022289999999</v>
      </c>
      <c r="H12" s="176">
        <v>1459.6272290000002</v>
      </c>
      <c r="L12" s="82">
        <f>G5</f>
        <v>6.5</v>
      </c>
      <c r="M12" s="82">
        <f>G25</f>
        <v>22889.686010038611</v>
      </c>
      <c r="N12" s="82">
        <f>G27</f>
        <v>7328.6099999999988</v>
      </c>
    </row>
    <row r="13" spans="1:14" x14ac:dyDescent="0.3">
      <c r="A13" s="128" t="s">
        <v>56</v>
      </c>
      <c r="B13" s="129"/>
      <c r="C13" s="129"/>
      <c r="D13" s="176">
        <v>1280.8481333333332</v>
      </c>
      <c r="E13" s="176">
        <v>1285.6014666666665</v>
      </c>
      <c r="F13" s="176">
        <v>1290.3547999999998</v>
      </c>
      <c r="G13" s="176">
        <v>1295.1081333333332</v>
      </c>
      <c r="H13" s="176">
        <v>1299.8614666666665</v>
      </c>
      <c r="L13" s="82">
        <f>H5</f>
        <v>7</v>
      </c>
      <c r="M13" s="82">
        <f>H25</f>
        <v>23236.914893767262</v>
      </c>
      <c r="N13" s="82">
        <f>H27</f>
        <v>7328.6099999999988</v>
      </c>
    </row>
    <row r="14" spans="1:14" x14ac:dyDescent="0.3">
      <c r="A14" s="128" t="s">
        <v>57</v>
      </c>
      <c r="B14" s="129"/>
      <c r="C14" s="129"/>
      <c r="D14" s="176">
        <v>1345.3999999999999</v>
      </c>
      <c r="E14" s="176">
        <v>1345.3999999999999</v>
      </c>
      <c r="F14" s="176">
        <v>1345.3999999999999</v>
      </c>
      <c r="G14" s="176">
        <v>1345.3999999999999</v>
      </c>
      <c r="H14" s="176">
        <v>1345.3999999999999</v>
      </c>
      <c r="L14" s="82" t="e">
        <f>#REF!</f>
        <v>#REF!</v>
      </c>
      <c r="M14" s="82" t="e">
        <f>#REF!</f>
        <v>#REF!</v>
      </c>
      <c r="N14" s="82" t="e">
        <f>#REF!</f>
        <v>#REF!</v>
      </c>
    </row>
    <row r="15" spans="1:14" x14ac:dyDescent="0.3">
      <c r="A15" s="128" t="s">
        <v>58</v>
      </c>
      <c r="B15" s="129"/>
      <c r="C15" s="129"/>
      <c r="D15" s="176">
        <v>582.65</v>
      </c>
      <c r="E15" s="176">
        <v>582.65</v>
      </c>
      <c r="F15" s="176">
        <v>582.65</v>
      </c>
      <c r="G15" s="176">
        <v>582.65</v>
      </c>
      <c r="H15" s="176">
        <v>582.65</v>
      </c>
    </row>
    <row r="16" spans="1:14" x14ac:dyDescent="0.3">
      <c r="A16" s="128" t="s">
        <v>59</v>
      </c>
      <c r="B16" s="129"/>
      <c r="C16" s="129"/>
      <c r="D16" s="176"/>
      <c r="E16" s="176"/>
      <c r="F16" s="176"/>
      <c r="G16" s="176"/>
      <c r="H16" s="176"/>
    </row>
    <row r="17" spans="1:9" x14ac:dyDescent="0.3">
      <c r="A17" s="128" t="s">
        <v>60</v>
      </c>
      <c r="B17" s="129"/>
      <c r="C17" s="129"/>
      <c r="D17" s="176">
        <v>1372.5104968126836</v>
      </c>
      <c r="E17" s="176">
        <v>1461.951199670965</v>
      </c>
      <c r="F17" s="176">
        <v>1551.3919025292469</v>
      </c>
      <c r="G17" s="176">
        <v>1640.832605387528</v>
      </c>
      <c r="H17" s="176">
        <v>1668.1470200729445</v>
      </c>
    </row>
    <row r="18" spans="1:9" x14ac:dyDescent="0.3">
      <c r="A18" s="128" t="s">
        <v>61</v>
      </c>
      <c r="B18" s="129"/>
      <c r="C18" s="129"/>
      <c r="D18" s="176"/>
      <c r="E18" s="176"/>
      <c r="F18" s="176"/>
      <c r="G18" s="176"/>
      <c r="H18" s="176"/>
    </row>
    <row r="19" spans="1:9" x14ac:dyDescent="0.3">
      <c r="A19" s="128" t="s">
        <v>62</v>
      </c>
      <c r="B19" s="129"/>
      <c r="C19" s="129"/>
      <c r="D19" s="176">
        <v>472.33760000000012</v>
      </c>
      <c r="E19" s="176">
        <v>519.57136000000014</v>
      </c>
      <c r="F19" s="176">
        <v>566.8051200000001</v>
      </c>
      <c r="G19" s="176">
        <v>614.03888000000006</v>
      </c>
      <c r="H19" s="176">
        <v>661.27264000000014</v>
      </c>
    </row>
    <row r="20" spans="1:9" x14ac:dyDescent="0.3">
      <c r="A20" s="128" t="s">
        <v>63</v>
      </c>
      <c r="B20" s="129"/>
      <c r="C20" s="129"/>
      <c r="D20" s="176">
        <v>200</v>
      </c>
      <c r="E20" s="176">
        <v>200</v>
      </c>
      <c r="F20" s="176">
        <v>200</v>
      </c>
      <c r="G20" s="176">
        <v>200</v>
      </c>
      <c r="H20" s="176">
        <v>200</v>
      </c>
    </row>
    <row r="21" spans="1:9" x14ac:dyDescent="0.3">
      <c r="A21" s="128" t="s">
        <v>64</v>
      </c>
      <c r="B21" s="129"/>
      <c r="C21" s="129"/>
      <c r="D21" s="176">
        <v>300</v>
      </c>
      <c r="E21" s="176">
        <v>300</v>
      </c>
      <c r="F21" s="176">
        <v>300</v>
      </c>
      <c r="G21" s="176">
        <v>300</v>
      </c>
      <c r="H21" s="176">
        <v>300</v>
      </c>
    </row>
    <row r="22" spans="1:9" x14ac:dyDescent="0.3">
      <c r="A22" s="128" t="s">
        <v>65</v>
      </c>
      <c r="B22" s="129"/>
      <c r="C22" s="129"/>
      <c r="D22" s="176"/>
      <c r="E22" s="176"/>
      <c r="F22" s="176"/>
      <c r="G22" s="176"/>
      <c r="H22" s="176"/>
    </row>
    <row r="23" spans="1:9" x14ac:dyDescent="0.3">
      <c r="A23" s="128" t="str">
        <f>'W-RR mielies Laer opbrengs '!A23</f>
        <v>Oorlê land koste / overlay costs</v>
      </c>
      <c r="B23" s="129"/>
      <c r="C23" s="129"/>
      <c r="D23" s="176">
        <v>1913.7231528749999</v>
      </c>
      <c r="E23" s="176">
        <v>1913.7231528749999</v>
      </c>
      <c r="F23" s="176">
        <v>1913.7231528749999</v>
      </c>
      <c r="G23" s="176">
        <v>1913.7231528749999</v>
      </c>
      <c r="H23" s="176">
        <v>1913.7231528749999</v>
      </c>
    </row>
    <row r="24" spans="1:9" ht="15" thickBot="1" x14ac:dyDescent="0.35">
      <c r="A24" s="128" t="s">
        <v>67</v>
      </c>
      <c r="B24" s="129"/>
      <c r="C24" s="129"/>
      <c r="D24" s="176">
        <v>1124.2121564550371</v>
      </c>
      <c r="E24" s="176">
        <v>1189.8338657842737</v>
      </c>
      <c r="F24" s="176">
        <v>1255.4555751135099</v>
      </c>
      <c r="G24" s="176">
        <v>1321.0772844427465</v>
      </c>
      <c r="H24" s="176">
        <v>1341.1175851526448</v>
      </c>
    </row>
    <row r="25" spans="1:9" ht="15" thickBot="1" x14ac:dyDescent="0.35">
      <c r="A25" s="131" t="s">
        <v>68</v>
      </c>
      <c r="B25" s="132"/>
      <c r="C25" s="133"/>
      <c r="D25" s="177">
        <f>SUM(D9:D24)</f>
        <v>19478.696343476051</v>
      </c>
      <c r="E25" s="177">
        <f>SUM(E9:E24)</f>
        <v>20615.692898996906</v>
      </c>
      <c r="F25" s="177">
        <f>SUM(F9:F24)</f>
        <v>21752.689454517753</v>
      </c>
      <c r="G25" s="177">
        <f>SUM(G9:G24)</f>
        <v>22889.686010038611</v>
      </c>
      <c r="H25" s="177">
        <f>SUM(H9:H24)</f>
        <v>23236.914893767262</v>
      </c>
    </row>
    <row r="26" spans="1:9" ht="15" thickBot="1" x14ac:dyDescent="0.35">
      <c r="A26" s="135"/>
      <c r="B26" s="136"/>
      <c r="C26" s="136"/>
      <c r="D26" s="178"/>
      <c r="E26" s="178"/>
      <c r="F26" s="178"/>
      <c r="G26" s="178"/>
      <c r="H26" s="178"/>
    </row>
    <row r="27" spans="1:9" ht="15" thickBot="1" x14ac:dyDescent="0.35">
      <c r="A27" s="138" t="s">
        <v>69</v>
      </c>
      <c r="B27" s="139"/>
      <c r="C27" s="140"/>
      <c r="D27" s="179">
        <v>7328.6099999999988</v>
      </c>
      <c r="E27" s="180">
        <v>7328.6099999999988</v>
      </c>
      <c r="F27" s="180">
        <v>7328.6099999999988</v>
      </c>
      <c r="G27" s="180">
        <v>7328.6099999999988</v>
      </c>
      <c r="H27" s="180">
        <v>7328.6099999999988</v>
      </c>
      <c r="I27" s="194"/>
    </row>
    <row r="28" spans="1:9" ht="15" thickBot="1" x14ac:dyDescent="0.35">
      <c r="A28" s="135"/>
      <c r="B28" s="136"/>
      <c r="C28" s="136"/>
      <c r="D28" s="178"/>
      <c r="E28" s="178"/>
      <c r="F28" s="178"/>
      <c r="G28" s="178"/>
      <c r="H28" s="178"/>
    </row>
    <row r="29" spans="1:9" ht="15" thickBot="1" x14ac:dyDescent="0.35">
      <c r="A29" s="131" t="s">
        <v>70</v>
      </c>
      <c r="B29" s="132"/>
      <c r="C29" s="133"/>
      <c r="D29" s="177">
        <f>D25+D27</f>
        <v>26807.306343476048</v>
      </c>
      <c r="E29" s="177">
        <f t="shared" ref="E29:H29" si="0">E25+E27</f>
        <v>27944.302898996903</v>
      </c>
      <c r="F29" s="177">
        <f t="shared" si="0"/>
        <v>29081.29945451775</v>
      </c>
      <c r="G29" s="177">
        <f t="shared" si="0"/>
        <v>30218.296010038612</v>
      </c>
      <c r="H29" s="177">
        <f t="shared" si="0"/>
        <v>30565.524893767259</v>
      </c>
    </row>
    <row r="30" spans="1:9" ht="15" thickBot="1" x14ac:dyDescent="0.35">
      <c r="A30" s="141"/>
      <c r="B30" s="142"/>
      <c r="C30" s="142"/>
      <c r="D30" s="181"/>
      <c r="E30" s="181"/>
      <c r="F30" s="181"/>
      <c r="G30" s="181"/>
      <c r="H30" s="181"/>
    </row>
    <row r="31" spans="1:9" ht="15" thickBot="1" x14ac:dyDescent="0.35">
      <c r="A31" s="131" t="s">
        <v>71</v>
      </c>
      <c r="B31" s="144"/>
      <c r="C31" s="145"/>
      <c r="D31" s="177">
        <f>D29/D5</f>
        <v>5361.4612686952096</v>
      </c>
      <c r="E31" s="177">
        <f>E29/E5</f>
        <v>5080.7823452721641</v>
      </c>
      <c r="F31" s="177">
        <f>F29/F5</f>
        <v>4846.8832424196253</v>
      </c>
      <c r="G31" s="177">
        <f>G29/G5</f>
        <v>4648.9686169290171</v>
      </c>
      <c r="H31" s="177">
        <f>H29/H5</f>
        <v>4366.5035562524654</v>
      </c>
    </row>
    <row r="32" spans="1:9" ht="15" thickBot="1" x14ac:dyDescent="0.35">
      <c r="A32" s="118"/>
      <c r="B32" s="119"/>
      <c r="C32" s="119"/>
      <c r="D32" s="181"/>
      <c r="E32" s="181"/>
      <c r="F32" s="181"/>
      <c r="G32" s="181"/>
      <c r="H32" s="181"/>
    </row>
    <row r="33" spans="1:9" ht="15" thickBot="1" x14ac:dyDescent="0.35">
      <c r="A33" s="146" t="s">
        <v>72</v>
      </c>
      <c r="B33" s="114"/>
      <c r="C33" s="114"/>
      <c r="D33" s="177">
        <f>'Pryse + Sensatiwiteitsanali'!$D$4</f>
        <v>408.16</v>
      </c>
      <c r="E33" s="177">
        <f>'Pryse + Sensatiwiteitsanali'!$D$4</f>
        <v>408.16</v>
      </c>
      <c r="F33" s="177">
        <f>'Pryse + Sensatiwiteitsanali'!$D$4</f>
        <v>408.16</v>
      </c>
      <c r="G33" s="177">
        <f>'Pryse + Sensatiwiteitsanali'!$D$4</f>
        <v>408.16</v>
      </c>
      <c r="H33" s="177">
        <f>'Pryse + Sensatiwiteitsanali'!$D$4</f>
        <v>408.16</v>
      </c>
    </row>
    <row r="34" spans="1:9" ht="15" thickBot="1" x14ac:dyDescent="0.35">
      <c r="A34" s="118"/>
      <c r="B34" s="119"/>
      <c r="C34" s="119"/>
      <c r="D34" s="181"/>
      <c r="E34" s="181"/>
      <c r="F34" s="181"/>
      <c r="G34" s="181"/>
      <c r="H34" s="181"/>
    </row>
    <row r="35" spans="1:9" ht="15" thickBot="1" x14ac:dyDescent="0.35">
      <c r="A35" s="147" t="s">
        <v>73</v>
      </c>
      <c r="B35" s="148"/>
      <c r="C35" s="149"/>
      <c r="D35" s="182">
        <f>D31+D33</f>
        <v>5769.6212686952094</v>
      </c>
      <c r="E35" s="182">
        <f>E31+E33</f>
        <v>5488.9423452721639</v>
      </c>
      <c r="F35" s="182">
        <f>F31+F33</f>
        <v>5255.0432424196251</v>
      </c>
      <c r="G35" s="182">
        <f>G31+G33</f>
        <v>5057.128616929017</v>
      </c>
      <c r="H35" s="182">
        <f>H31+H33</f>
        <v>4774.6635562524652</v>
      </c>
    </row>
    <row r="36" spans="1:9" ht="15" thickBot="1" x14ac:dyDescent="0.35">
      <c r="A36" s="190" t="s">
        <v>74</v>
      </c>
      <c r="B36" s="151"/>
      <c r="C36" s="152"/>
      <c r="D36" s="182">
        <f>'Pryse + Sensatiwiteitsanali'!B4</f>
        <v>3800</v>
      </c>
      <c r="E36" s="182">
        <f>$D$36</f>
        <v>3800</v>
      </c>
      <c r="F36" s="182">
        <f>$D$36</f>
        <v>3800</v>
      </c>
      <c r="G36" s="182">
        <f>$D$36</f>
        <v>3800</v>
      </c>
      <c r="H36" s="182">
        <f>$D$36</f>
        <v>3800</v>
      </c>
    </row>
    <row r="37" spans="1:9" ht="15" thickBot="1" x14ac:dyDescent="0.35">
      <c r="D37" s="183"/>
      <c r="E37" s="183"/>
      <c r="F37" s="183"/>
      <c r="G37" s="183"/>
      <c r="H37" s="183"/>
    </row>
    <row r="38" spans="1:9" s="154" customFormat="1" x14ac:dyDescent="0.3">
      <c r="A38" s="83" t="s">
        <v>75</v>
      </c>
      <c r="B38" s="153"/>
      <c r="C38" s="153"/>
      <c r="D38" s="184">
        <f>D6-D25</f>
        <v>-4364.4963434760502</v>
      </c>
      <c r="E38" s="185">
        <f>E6-E25</f>
        <v>-3990.0728989969029</v>
      </c>
      <c r="F38" s="184">
        <f>F6-F25</f>
        <v>-3615.649454517752</v>
      </c>
      <c r="G38" s="185">
        <f>G6-G25</f>
        <v>-3241.226010038612</v>
      </c>
      <c r="H38" s="184">
        <f>H6-H25</f>
        <v>-2077.0348937672607</v>
      </c>
    </row>
    <row r="39" spans="1:9" s="154" customFormat="1" ht="15" thickBot="1" x14ac:dyDescent="0.35">
      <c r="A39" s="85" t="s">
        <v>76</v>
      </c>
      <c r="B39" s="155"/>
      <c r="C39" s="155"/>
      <c r="D39" s="187">
        <f>D6-D29</f>
        <v>-11693.106343476047</v>
      </c>
      <c r="E39" s="188">
        <f>E6-E29</f>
        <v>-11318.6828989969</v>
      </c>
      <c r="F39" s="187">
        <f>F6-F29</f>
        <v>-10944.259454517749</v>
      </c>
      <c r="G39" s="188">
        <f>G6-G29</f>
        <v>-10569.836010038613</v>
      </c>
      <c r="H39" s="187">
        <f>H6-H29</f>
        <v>-9405.6448937672576</v>
      </c>
    </row>
    <row r="40" spans="1:9" x14ac:dyDescent="0.3">
      <c r="A40" s="87" t="s">
        <v>168</v>
      </c>
      <c r="B40" s="156"/>
      <c r="C40" s="156"/>
      <c r="D40" s="156"/>
      <c r="E40" s="156"/>
      <c r="F40" s="156"/>
      <c r="G40" s="156"/>
      <c r="H40" s="157"/>
      <c r="I40" s="158"/>
    </row>
    <row r="41" spans="1:9" x14ac:dyDescent="0.3">
      <c r="A41" s="88" t="s">
        <v>77</v>
      </c>
      <c r="B41" s="159"/>
      <c r="C41" s="159"/>
      <c r="D41" s="159"/>
      <c r="E41" s="159"/>
      <c r="F41" s="159"/>
      <c r="G41" s="159"/>
      <c r="H41" s="160"/>
      <c r="I41" s="158"/>
    </row>
    <row r="42" spans="1:9" ht="15" thickBot="1" x14ac:dyDescent="0.35">
      <c r="A42" s="89" t="s">
        <v>78</v>
      </c>
      <c r="B42" s="161"/>
      <c r="C42" s="161"/>
      <c r="D42" s="161"/>
      <c r="E42" s="161"/>
      <c r="F42" s="161"/>
      <c r="G42" s="161"/>
      <c r="H42" s="162"/>
      <c r="I42" s="158"/>
    </row>
    <row r="43" spans="1:9" x14ac:dyDescent="0.3">
      <c r="A43" s="163" t="s">
        <v>79</v>
      </c>
      <c r="B43" s="164"/>
      <c r="C43" s="164"/>
      <c r="D43" s="164"/>
      <c r="E43" s="164"/>
      <c r="F43" s="164"/>
      <c r="G43" s="164"/>
      <c r="H43" s="165"/>
    </row>
    <row r="44" spans="1:9" x14ac:dyDescent="0.3">
      <c r="A44" s="166"/>
      <c r="B44" s="167"/>
      <c r="C44" s="167"/>
      <c r="D44" s="167"/>
      <c r="E44" s="167"/>
      <c r="F44" s="167"/>
      <c r="G44" s="167"/>
      <c r="H44" s="168"/>
    </row>
    <row r="45" spans="1:9" x14ac:dyDescent="0.3">
      <c r="A45" s="166"/>
      <c r="B45" s="167"/>
      <c r="C45" s="167"/>
      <c r="D45" s="167"/>
      <c r="E45" s="167"/>
      <c r="F45" s="167"/>
      <c r="G45" s="167"/>
      <c r="H45" s="168"/>
    </row>
    <row r="46" spans="1:9" ht="15" thickBot="1" x14ac:dyDescent="0.35">
      <c r="A46" s="169"/>
      <c r="B46" s="170"/>
      <c r="C46" s="170"/>
      <c r="D46" s="170"/>
      <c r="E46" s="170"/>
      <c r="F46" s="170"/>
      <c r="G46" s="170"/>
      <c r="H46" s="171"/>
    </row>
  </sheetData>
  <mergeCells count="13">
    <mergeCell ref="A27:C27"/>
    <mergeCell ref="A29:C29"/>
    <mergeCell ref="L7:N7"/>
    <mergeCell ref="A43:H46"/>
    <mergeCell ref="E1:G1"/>
    <mergeCell ref="A1:D1"/>
    <mergeCell ref="A31:C31"/>
    <mergeCell ref="A35:C35"/>
    <mergeCell ref="A3:C3"/>
    <mergeCell ref="A8:C8"/>
    <mergeCell ref="A25:C25"/>
    <mergeCell ref="A38:C38"/>
    <mergeCell ref="A39:C39"/>
  </mergeCells>
  <phoneticPr fontId="0" type="noConversion"/>
  <conditionalFormatting sqref="D38:H39">
    <cfRule type="colorScale" priority="65">
      <colorScale>
        <cfvo type="min"/>
        <cfvo type="percentile" val="50"/>
        <cfvo type="max"/>
        <color rgb="FFF8696B"/>
        <color rgb="FFFFEB84"/>
        <color rgb="FF63BE7B"/>
      </colorScale>
    </cfRule>
    <cfRule type="colorScale" priority="66">
      <colorScale>
        <cfvo type="min"/>
        <cfvo type="percentile" val="50"/>
        <cfvo type="max"/>
        <color rgb="FFF8696B"/>
        <color rgb="FFFFEB84"/>
        <color rgb="FF63BE7B"/>
      </colorScale>
    </cfRule>
    <cfRule type="colorScale" priority="67">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54" fitToHeight="0" orientation="portrait" verticalDpi="300" r:id="rId1"/>
  <headerFooter alignWithMargins="0">
    <oddHeader>&amp;F</oddHeader>
    <oddFooter>&amp;A&amp;RPage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8"/>
  <sheetViews>
    <sheetView zoomScale="70" zoomScaleNormal="70" workbookViewId="0">
      <selection activeCell="S23" sqref="S23"/>
    </sheetView>
  </sheetViews>
  <sheetFormatPr defaultColWidth="9.109375" defaultRowHeight="14.4" x14ac:dyDescent="0.3"/>
  <cols>
    <col min="1" max="1" width="41.6640625" style="93" customWidth="1"/>
    <col min="2" max="2" width="14.6640625" style="93" customWidth="1"/>
    <col min="3" max="3" width="44.44140625" style="93" customWidth="1"/>
    <col min="4" max="4" width="16.6640625" style="93" customWidth="1"/>
    <col min="5" max="5" width="14.44140625" style="93" customWidth="1"/>
    <col min="6" max="9" width="14.33203125" style="93" customWidth="1"/>
    <col min="10" max="10" width="14.44140625" style="93" customWidth="1"/>
    <col min="11" max="15" width="12.6640625" style="93" hidden="1" customWidth="1"/>
    <col min="16" max="26" width="12.6640625" style="93" customWidth="1"/>
    <col min="27" max="16384" width="9.109375" style="93"/>
  </cols>
  <sheetData>
    <row r="1" spans="1:15" ht="33.75" customHeight="1" thickBot="1" x14ac:dyDescent="0.35">
      <c r="A1" s="199" t="s">
        <v>169</v>
      </c>
      <c r="B1" s="200"/>
      <c r="C1" s="200"/>
      <c r="D1" s="200"/>
      <c r="E1" s="79" t="s">
        <v>42</v>
      </c>
      <c r="F1" s="79"/>
      <c r="G1" s="79"/>
      <c r="H1" s="192"/>
      <c r="I1" s="92"/>
    </row>
    <row r="2" spans="1:15" ht="15" thickBot="1" x14ac:dyDescent="0.35">
      <c r="A2" s="94"/>
      <c r="B2" s="95"/>
      <c r="C2" s="96"/>
      <c r="D2" s="96"/>
      <c r="E2" s="96"/>
      <c r="F2" s="96"/>
      <c r="G2" s="96"/>
      <c r="H2" s="96"/>
      <c r="I2" s="97"/>
    </row>
    <row r="3" spans="1:15" ht="27.75" customHeight="1" thickBot="1" x14ac:dyDescent="0.35">
      <c r="A3" s="98" t="s">
        <v>43</v>
      </c>
      <c r="B3" s="99"/>
      <c r="C3" s="99"/>
      <c r="D3" s="100"/>
      <c r="E3" s="101">
        <f>'Pryse + Sensatiwiteitsanali'!B26</f>
        <v>3391.84</v>
      </c>
      <c r="F3" s="100" t="s">
        <v>44</v>
      </c>
      <c r="G3" s="102"/>
      <c r="H3" s="102"/>
      <c r="I3" s="103"/>
    </row>
    <row r="4" spans="1:15" ht="15" thickBot="1" x14ac:dyDescent="0.35">
      <c r="A4" s="104"/>
      <c r="B4" s="105"/>
      <c r="C4" s="105"/>
      <c r="D4" s="106"/>
      <c r="E4" s="107"/>
      <c r="F4" s="108"/>
      <c r="G4" s="105"/>
      <c r="H4" s="109"/>
      <c r="I4" s="109"/>
    </row>
    <row r="5" spans="1:15" ht="15" thickBot="1" x14ac:dyDescent="0.35">
      <c r="A5" s="110" t="s">
        <v>45</v>
      </c>
      <c r="B5" s="105"/>
      <c r="C5" s="105"/>
      <c r="D5" s="111">
        <v>3.5</v>
      </c>
      <c r="E5" s="111">
        <v>4</v>
      </c>
      <c r="F5" s="111">
        <v>4.5</v>
      </c>
      <c r="G5" s="111">
        <v>5</v>
      </c>
      <c r="H5" s="111">
        <v>6</v>
      </c>
      <c r="I5" s="111">
        <v>7</v>
      </c>
      <c r="K5" s="112"/>
      <c r="L5" s="112"/>
    </row>
    <row r="6" spans="1:15" ht="15" thickBot="1" x14ac:dyDescent="0.35">
      <c r="A6" s="113" t="s">
        <v>46</v>
      </c>
      <c r="B6" s="114"/>
      <c r="C6" s="115"/>
      <c r="D6" s="172">
        <v>11108.937000000002</v>
      </c>
      <c r="E6" s="172">
        <v>12695.928000000002</v>
      </c>
      <c r="F6" s="172">
        <v>14282.919000000002</v>
      </c>
      <c r="G6" s="172">
        <v>15869.910000000002</v>
      </c>
      <c r="H6" s="172">
        <v>19043.892000000003</v>
      </c>
      <c r="I6" s="172">
        <v>22217.874000000003</v>
      </c>
      <c r="K6" s="117"/>
      <c r="L6" s="117"/>
    </row>
    <row r="7" spans="1:15" ht="15" thickBot="1" x14ac:dyDescent="0.35">
      <c r="A7" s="118"/>
      <c r="B7" s="119"/>
      <c r="C7" s="119"/>
      <c r="D7" s="173"/>
      <c r="E7" s="173"/>
      <c r="F7" s="173"/>
      <c r="G7" s="173"/>
      <c r="H7" s="173"/>
      <c r="I7" s="173"/>
      <c r="K7" s="198"/>
      <c r="L7" s="198"/>
      <c r="M7" s="80" t="s">
        <v>83</v>
      </c>
      <c r="N7" s="80"/>
      <c r="O7" s="80"/>
    </row>
    <row r="8" spans="1:15" ht="15" thickBot="1" x14ac:dyDescent="0.35">
      <c r="A8" s="121" t="s">
        <v>48</v>
      </c>
      <c r="B8" s="122"/>
      <c r="C8" s="123"/>
      <c r="D8" s="174"/>
      <c r="E8" s="174"/>
      <c r="F8" s="174"/>
      <c r="G8" s="174"/>
      <c r="H8" s="174"/>
      <c r="I8" s="174"/>
      <c r="M8" s="81" t="s">
        <v>49</v>
      </c>
      <c r="N8" s="81" t="s">
        <v>50</v>
      </c>
      <c r="O8" s="81" t="s">
        <v>51</v>
      </c>
    </row>
    <row r="9" spans="1:15" x14ac:dyDescent="0.3">
      <c r="A9" s="125" t="s">
        <v>52</v>
      </c>
      <c r="B9" s="126"/>
      <c r="C9" s="126"/>
      <c r="D9" s="175">
        <v>1591.5887491874998</v>
      </c>
      <c r="E9" s="175">
        <v>1667.3786896249997</v>
      </c>
      <c r="F9" s="175">
        <v>1781.0636002812498</v>
      </c>
      <c r="G9" s="175">
        <v>1894.7485109374998</v>
      </c>
      <c r="H9" s="175">
        <v>1894.7485109374998</v>
      </c>
      <c r="I9" s="175">
        <v>2046.3283918124998</v>
      </c>
      <c r="K9" s="130"/>
      <c r="L9" s="130"/>
      <c r="M9" s="82">
        <f>D5</f>
        <v>3.5</v>
      </c>
      <c r="N9" s="82">
        <f>D25</f>
        <v>16604.920478787561</v>
      </c>
      <c r="O9" s="82">
        <f>D27</f>
        <v>7658.1599999999989</v>
      </c>
    </row>
    <row r="10" spans="1:15" x14ac:dyDescent="0.3">
      <c r="A10" s="128" t="s">
        <v>53</v>
      </c>
      <c r="B10" s="129"/>
      <c r="C10" s="129"/>
      <c r="D10" s="176">
        <v>4759.165</v>
      </c>
      <c r="E10" s="176">
        <v>5424.76</v>
      </c>
      <c r="F10" s="176">
        <v>6090.3549999999996</v>
      </c>
      <c r="G10" s="176">
        <v>6755.95</v>
      </c>
      <c r="H10" s="176">
        <v>8087.1399999999994</v>
      </c>
      <c r="I10" s="176">
        <v>9418.33</v>
      </c>
      <c r="K10" s="130"/>
      <c r="L10" s="130"/>
      <c r="M10" s="82">
        <f>E5</f>
        <v>4</v>
      </c>
      <c r="N10" s="82">
        <f>E25</f>
        <v>17564.662874020847</v>
      </c>
      <c r="O10" s="82">
        <f>E27</f>
        <v>7658.1599999999989</v>
      </c>
    </row>
    <row r="11" spans="1:15" x14ac:dyDescent="0.3">
      <c r="A11" s="128" t="s">
        <v>54</v>
      </c>
      <c r="B11" s="129"/>
      <c r="C11" s="129"/>
      <c r="D11" s="176">
        <v>800</v>
      </c>
      <c r="E11" s="176">
        <v>800</v>
      </c>
      <c r="F11" s="176">
        <v>800</v>
      </c>
      <c r="G11" s="176">
        <v>800</v>
      </c>
      <c r="H11" s="176">
        <v>800</v>
      </c>
      <c r="I11" s="176">
        <v>800</v>
      </c>
      <c r="K11" s="130"/>
      <c r="L11" s="130"/>
      <c r="M11" s="82">
        <f>F5</f>
        <v>4.5</v>
      </c>
      <c r="N11" s="82">
        <f>F25</f>
        <v>18568.284434575766</v>
      </c>
      <c r="O11" s="82">
        <f>F27</f>
        <v>7658.1599999999989</v>
      </c>
    </row>
    <row r="12" spans="1:15" x14ac:dyDescent="0.3">
      <c r="A12" s="128" t="s">
        <v>55</v>
      </c>
      <c r="B12" s="129"/>
      <c r="C12" s="129"/>
      <c r="D12" s="176">
        <v>1393.837229</v>
      </c>
      <c r="E12" s="176">
        <v>1426.9572290000001</v>
      </c>
      <c r="F12" s="176">
        <v>1460.077229</v>
      </c>
      <c r="G12" s="176">
        <v>1493.1972289999999</v>
      </c>
      <c r="H12" s="176">
        <v>1548.3972289999999</v>
      </c>
      <c r="I12" s="176">
        <v>1603.597229</v>
      </c>
      <c r="K12" s="130"/>
      <c r="L12" s="130"/>
      <c r="M12" s="82">
        <f>G5</f>
        <v>5</v>
      </c>
      <c r="N12" s="82">
        <f>G25</f>
        <v>19571.905995130681</v>
      </c>
      <c r="O12" s="82">
        <f>G27</f>
        <v>7658.1599999999989</v>
      </c>
    </row>
    <row r="13" spans="1:15" x14ac:dyDescent="0.3">
      <c r="A13" s="128" t="s">
        <v>56</v>
      </c>
      <c r="B13" s="129"/>
      <c r="C13" s="129"/>
      <c r="D13" s="176">
        <v>1266.5881333333332</v>
      </c>
      <c r="E13" s="176">
        <v>1271.3414666666665</v>
      </c>
      <c r="F13" s="176">
        <v>1276.0947999999999</v>
      </c>
      <c r="G13" s="176">
        <v>1280.8481333333332</v>
      </c>
      <c r="H13" s="176">
        <v>1290.3547999999998</v>
      </c>
      <c r="I13" s="176">
        <v>1299.8614666666665</v>
      </c>
      <c r="K13" s="130"/>
      <c r="L13" s="130"/>
      <c r="M13" s="82">
        <f>H5</f>
        <v>6</v>
      </c>
      <c r="N13" s="82">
        <f>H25</f>
        <v>21303.090739540781</v>
      </c>
      <c r="O13" s="82">
        <f>H27</f>
        <v>7658.1599999999989</v>
      </c>
    </row>
    <row r="14" spans="1:15" x14ac:dyDescent="0.3">
      <c r="A14" s="128" t="s">
        <v>57</v>
      </c>
      <c r="B14" s="129"/>
      <c r="C14" s="129"/>
      <c r="D14" s="176">
        <v>1345.3999999999999</v>
      </c>
      <c r="E14" s="176">
        <v>1345.3999999999999</v>
      </c>
      <c r="F14" s="176">
        <v>1345.3999999999999</v>
      </c>
      <c r="G14" s="176">
        <v>1345.3999999999999</v>
      </c>
      <c r="H14" s="176">
        <v>1345.3999999999999</v>
      </c>
      <c r="I14" s="176">
        <v>1345.3999999999999</v>
      </c>
      <c r="K14" s="130"/>
      <c r="L14" s="130"/>
      <c r="M14" s="82">
        <f>I5</f>
        <v>7</v>
      </c>
      <c r="N14" s="82">
        <f>I25</f>
        <v>23209.792145237428</v>
      </c>
      <c r="O14" s="82">
        <f>I27</f>
        <v>7658.1599999999989</v>
      </c>
    </row>
    <row r="15" spans="1:15" x14ac:dyDescent="0.3">
      <c r="A15" s="128" t="s">
        <v>58</v>
      </c>
      <c r="B15" s="129"/>
      <c r="C15" s="129"/>
      <c r="D15" s="176">
        <v>582.65</v>
      </c>
      <c r="E15" s="176">
        <v>582.65</v>
      </c>
      <c r="F15" s="176">
        <v>582.65</v>
      </c>
      <c r="G15" s="176">
        <v>582.65</v>
      </c>
      <c r="H15" s="176">
        <v>582.65</v>
      </c>
      <c r="I15" s="176">
        <v>582.65</v>
      </c>
      <c r="K15" s="130"/>
      <c r="L15" s="130"/>
    </row>
    <row r="16" spans="1:15" x14ac:dyDescent="0.3">
      <c r="A16" s="128" t="s">
        <v>59</v>
      </c>
      <c r="B16" s="129"/>
      <c r="C16" s="129"/>
      <c r="D16" s="176"/>
      <c r="E16" s="176"/>
      <c r="F16" s="176"/>
      <c r="G16" s="176"/>
      <c r="H16" s="176"/>
      <c r="I16" s="176"/>
      <c r="K16" s="130"/>
      <c r="L16" s="130"/>
    </row>
    <row r="17" spans="1:12" x14ac:dyDescent="0.3">
      <c r="A17" s="128" t="s">
        <v>60</v>
      </c>
      <c r="B17" s="129"/>
      <c r="C17" s="129"/>
      <c r="D17" s="176">
        <v>1146.4477774958611</v>
      </c>
      <c r="E17" s="176">
        <v>1221.9449581827739</v>
      </c>
      <c r="F17" s="176">
        <v>1300.8938497549534</v>
      </c>
      <c r="G17" s="176">
        <v>1379.8427413271331</v>
      </c>
      <c r="H17" s="176">
        <v>1516.0246669149753</v>
      </c>
      <c r="I17" s="176">
        <v>1666.0134360438842</v>
      </c>
      <c r="K17" s="130"/>
      <c r="L17" s="130"/>
    </row>
    <row r="18" spans="1:12" x14ac:dyDescent="0.3">
      <c r="A18" s="128" t="s">
        <v>61</v>
      </c>
      <c r="B18" s="129"/>
      <c r="C18" s="129"/>
      <c r="D18" s="176"/>
      <c r="E18" s="176"/>
      <c r="F18" s="176"/>
      <c r="G18" s="176"/>
      <c r="H18" s="176"/>
      <c r="I18" s="176"/>
      <c r="K18" s="130"/>
      <c r="L18" s="130"/>
    </row>
    <row r="19" spans="1:12" x14ac:dyDescent="0.3">
      <c r="A19" s="128" t="s">
        <v>62</v>
      </c>
      <c r="B19" s="129"/>
      <c r="C19" s="129"/>
      <c r="D19" s="176">
        <v>347.16813600000006</v>
      </c>
      <c r="E19" s="176">
        <v>396.76358400000009</v>
      </c>
      <c r="F19" s="176">
        <v>446.35903200000013</v>
      </c>
      <c r="G19" s="176">
        <v>495.95448000000022</v>
      </c>
      <c r="H19" s="176">
        <v>595.14537600000017</v>
      </c>
      <c r="I19" s="176">
        <v>694.33627200000012</v>
      </c>
      <c r="K19" s="130"/>
      <c r="L19" s="130"/>
    </row>
    <row r="20" spans="1:12" x14ac:dyDescent="0.3">
      <c r="A20" s="128" t="s">
        <v>63</v>
      </c>
      <c r="B20" s="129"/>
      <c r="C20" s="129"/>
      <c r="D20" s="176">
        <v>200</v>
      </c>
      <c r="E20" s="176">
        <v>200</v>
      </c>
      <c r="F20" s="176">
        <v>200</v>
      </c>
      <c r="G20" s="176">
        <v>200</v>
      </c>
      <c r="H20" s="176">
        <v>200</v>
      </c>
      <c r="I20" s="176">
        <v>200</v>
      </c>
      <c r="K20" s="130"/>
      <c r="L20" s="130"/>
    </row>
    <row r="21" spans="1:12" x14ac:dyDescent="0.3">
      <c r="A21" s="128" t="s">
        <v>64</v>
      </c>
      <c r="B21" s="129"/>
      <c r="C21" s="129"/>
      <c r="D21" s="176">
        <v>300</v>
      </c>
      <c r="E21" s="176">
        <v>300</v>
      </c>
      <c r="F21" s="176">
        <v>300</v>
      </c>
      <c r="G21" s="176">
        <v>300</v>
      </c>
      <c r="H21" s="176">
        <v>300</v>
      </c>
      <c r="I21" s="176">
        <v>300</v>
      </c>
      <c r="K21" s="130"/>
      <c r="L21" s="130"/>
    </row>
    <row r="22" spans="1:12" x14ac:dyDescent="0.3">
      <c r="A22" s="128" t="s">
        <v>65</v>
      </c>
      <c r="B22" s="129"/>
      <c r="C22" s="129"/>
      <c r="D22" s="176"/>
      <c r="E22" s="176"/>
      <c r="F22" s="176"/>
      <c r="G22" s="176"/>
      <c r="H22" s="176"/>
      <c r="I22" s="176"/>
      <c r="K22" s="130"/>
      <c r="L22" s="130"/>
    </row>
    <row r="23" spans="1:12" x14ac:dyDescent="0.3">
      <c r="A23" s="128" t="str">
        <f>'W-RR mielies Hoer opbrengs  '!A23</f>
        <v>Oorlê land koste / overlay costs</v>
      </c>
      <c r="B23" s="129"/>
      <c r="C23" s="129"/>
      <c r="D23" s="176">
        <v>1913.7231528749999</v>
      </c>
      <c r="E23" s="176">
        <v>1913.7231528749999</v>
      </c>
      <c r="F23" s="176">
        <v>1913.7231528749999</v>
      </c>
      <c r="G23" s="176">
        <v>1913.7231528749999</v>
      </c>
      <c r="H23" s="176">
        <v>1913.7231528749999</v>
      </c>
      <c r="I23" s="176">
        <v>1913.7231528749999</v>
      </c>
      <c r="K23" s="130"/>
      <c r="L23" s="130"/>
    </row>
    <row r="24" spans="1:12" ht="15" thickBot="1" x14ac:dyDescent="0.35">
      <c r="A24" s="128" t="s">
        <v>67</v>
      </c>
      <c r="B24" s="129"/>
      <c r="C24" s="129"/>
      <c r="D24" s="176">
        <v>958.35230089586605</v>
      </c>
      <c r="E24" s="176">
        <v>1013.7437936714033</v>
      </c>
      <c r="F24" s="176">
        <v>1071.6677706645612</v>
      </c>
      <c r="G24" s="176">
        <v>1129.5917476577188</v>
      </c>
      <c r="H24" s="176">
        <v>1229.5070038133076</v>
      </c>
      <c r="I24" s="176">
        <v>1339.5521968393805</v>
      </c>
      <c r="K24" s="130"/>
      <c r="L24" s="130"/>
    </row>
    <row r="25" spans="1:12" ht="15" thickBot="1" x14ac:dyDescent="0.35">
      <c r="A25" s="131" t="s">
        <v>68</v>
      </c>
      <c r="B25" s="132"/>
      <c r="C25" s="133"/>
      <c r="D25" s="177">
        <f t="shared" ref="D25:I25" si="0">SUM(D9:D24)</f>
        <v>16604.920478787561</v>
      </c>
      <c r="E25" s="177">
        <f t="shared" si="0"/>
        <v>17564.662874020847</v>
      </c>
      <c r="F25" s="177">
        <f t="shared" si="0"/>
        <v>18568.284434575766</v>
      </c>
      <c r="G25" s="177">
        <f t="shared" si="0"/>
        <v>19571.905995130681</v>
      </c>
      <c r="H25" s="177">
        <f t="shared" si="0"/>
        <v>21303.090739540781</v>
      </c>
      <c r="I25" s="177">
        <f t="shared" si="0"/>
        <v>23209.792145237428</v>
      </c>
      <c r="K25" s="112"/>
      <c r="L25" s="112"/>
    </row>
    <row r="26" spans="1:12" ht="15" thickBot="1" x14ac:dyDescent="0.35">
      <c r="A26" s="135"/>
      <c r="B26" s="136"/>
      <c r="C26" s="136"/>
      <c r="D26" s="178"/>
      <c r="E26" s="178"/>
      <c r="F26" s="178"/>
      <c r="G26" s="178"/>
      <c r="H26" s="178"/>
      <c r="I26" s="178"/>
    </row>
    <row r="27" spans="1:12" ht="15" thickBot="1" x14ac:dyDescent="0.35">
      <c r="A27" s="138" t="s">
        <v>69</v>
      </c>
      <c r="B27" s="139"/>
      <c r="C27" s="140"/>
      <c r="D27" s="179">
        <v>7658.1599999999989</v>
      </c>
      <c r="E27" s="180">
        <v>7658.1599999999989</v>
      </c>
      <c r="F27" s="180">
        <v>7658.1599999999989</v>
      </c>
      <c r="G27" s="180">
        <v>7658.1599999999989</v>
      </c>
      <c r="H27" s="180">
        <v>7658.1599999999989</v>
      </c>
      <c r="I27" s="180">
        <v>7658.1599999999989</v>
      </c>
      <c r="J27" s="194"/>
    </row>
    <row r="28" spans="1:12" ht="15" thickBot="1" x14ac:dyDescent="0.35">
      <c r="A28" s="135"/>
      <c r="B28" s="136"/>
      <c r="C28" s="136"/>
      <c r="D28" s="178"/>
      <c r="E28" s="178"/>
      <c r="F28" s="178"/>
      <c r="G28" s="178"/>
      <c r="H28" s="178"/>
      <c r="I28" s="178"/>
    </row>
    <row r="29" spans="1:12" ht="15" thickBot="1" x14ac:dyDescent="0.35">
      <c r="A29" s="131" t="s">
        <v>70</v>
      </c>
      <c r="B29" s="132"/>
      <c r="C29" s="133"/>
      <c r="D29" s="177">
        <f>D25+D27</f>
        <v>24263.08047878756</v>
      </c>
      <c r="E29" s="177">
        <f t="shared" ref="E29:I29" si="1">E25+E27</f>
        <v>25222.822874020847</v>
      </c>
      <c r="F29" s="177">
        <f t="shared" si="1"/>
        <v>26226.444434575766</v>
      </c>
      <c r="G29" s="177">
        <f t="shared" si="1"/>
        <v>27230.065995130681</v>
      </c>
      <c r="H29" s="177">
        <f t="shared" si="1"/>
        <v>28961.250739540781</v>
      </c>
      <c r="I29" s="177">
        <f t="shared" si="1"/>
        <v>30867.952145237428</v>
      </c>
    </row>
    <row r="30" spans="1:12" ht="15" thickBot="1" x14ac:dyDescent="0.35">
      <c r="A30" s="141"/>
      <c r="B30" s="142"/>
      <c r="C30" s="142"/>
      <c r="D30" s="181"/>
      <c r="E30" s="181"/>
      <c r="F30" s="181"/>
      <c r="G30" s="181"/>
      <c r="H30" s="181"/>
      <c r="I30" s="181"/>
    </row>
    <row r="31" spans="1:12" ht="15" thickBot="1" x14ac:dyDescent="0.35">
      <c r="A31" s="131" t="s">
        <v>71</v>
      </c>
      <c r="B31" s="144"/>
      <c r="C31" s="145"/>
      <c r="D31" s="177">
        <f>D29/D5</f>
        <v>6932.3087082250177</v>
      </c>
      <c r="E31" s="177">
        <f t="shared" ref="E31:I31" si="2">E29/E5</f>
        <v>6305.7057185052117</v>
      </c>
      <c r="F31" s="177">
        <f t="shared" si="2"/>
        <v>5828.0987632390588</v>
      </c>
      <c r="G31" s="177">
        <f t="shared" si="2"/>
        <v>5446.0131990261361</v>
      </c>
      <c r="H31" s="177">
        <f t="shared" si="2"/>
        <v>4826.8751232567965</v>
      </c>
      <c r="I31" s="177">
        <f t="shared" si="2"/>
        <v>4409.7074493196324</v>
      </c>
    </row>
    <row r="32" spans="1:12" ht="15" thickBot="1" x14ac:dyDescent="0.35">
      <c r="A32" s="118"/>
      <c r="B32" s="119"/>
      <c r="C32" s="119"/>
      <c r="D32" s="181"/>
      <c r="E32" s="181"/>
      <c r="F32" s="181"/>
      <c r="G32" s="181"/>
      <c r="H32" s="181"/>
      <c r="I32" s="181"/>
    </row>
    <row r="33" spans="1:10" ht="15" thickBot="1" x14ac:dyDescent="0.35">
      <c r="A33" s="146" t="s">
        <v>72</v>
      </c>
      <c r="B33" s="114"/>
      <c r="C33" s="114"/>
      <c r="D33" s="177">
        <f>'Pryse + Sensatiwiteitsanali'!$D$4</f>
        <v>408.16</v>
      </c>
      <c r="E33" s="177">
        <f>'Pryse + Sensatiwiteitsanali'!$D$4</f>
        <v>408.16</v>
      </c>
      <c r="F33" s="177">
        <f>'Pryse + Sensatiwiteitsanali'!$D$4</f>
        <v>408.16</v>
      </c>
      <c r="G33" s="177">
        <f>'Pryse + Sensatiwiteitsanali'!$D$4</f>
        <v>408.16</v>
      </c>
      <c r="H33" s="177">
        <f>'Pryse + Sensatiwiteitsanali'!$D$4</f>
        <v>408.16</v>
      </c>
      <c r="I33" s="177">
        <f>'Pryse + Sensatiwiteitsanali'!$D$4</f>
        <v>408.16</v>
      </c>
    </row>
    <row r="34" spans="1:10" ht="15" thickBot="1" x14ac:dyDescent="0.35">
      <c r="A34" s="118"/>
      <c r="B34" s="119"/>
      <c r="C34" s="119"/>
      <c r="D34" s="181"/>
      <c r="E34" s="181"/>
      <c r="F34" s="181"/>
      <c r="G34" s="181"/>
      <c r="H34" s="181"/>
      <c r="I34" s="181"/>
    </row>
    <row r="35" spans="1:10" ht="15" thickBot="1" x14ac:dyDescent="0.35">
      <c r="A35" s="147" t="s">
        <v>73</v>
      </c>
      <c r="B35" s="148"/>
      <c r="C35" s="149"/>
      <c r="D35" s="182">
        <f t="shared" ref="D35:I35" si="3">D31+D33</f>
        <v>7340.4687082250175</v>
      </c>
      <c r="E35" s="182">
        <f t="shared" si="3"/>
        <v>6713.8657185052116</v>
      </c>
      <c r="F35" s="182">
        <f t="shared" si="3"/>
        <v>6236.2587632390587</v>
      </c>
      <c r="G35" s="182">
        <f t="shared" si="3"/>
        <v>5854.173199026136</v>
      </c>
      <c r="H35" s="182">
        <f t="shared" si="3"/>
        <v>5235.0351232567964</v>
      </c>
      <c r="I35" s="182">
        <f t="shared" si="3"/>
        <v>4817.8674493196322</v>
      </c>
    </row>
    <row r="36" spans="1:10" ht="15" thickBot="1" x14ac:dyDescent="0.35">
      <c r="A36" s="190" t="s">
        <v>74</v>
      </c>
      <c r="B36" s="151"/>
      <c r="C36" s="152"/>
      <c r="D36" s="182">
        <f>'Pryse + Sensatiwiteitsanali'!B4</f>
        <v>3800</v>
      </c>
      <c r="E36" s="182">
        <f>$D$36</f>
        <v>3800</v>
      </c>
      <c r="F36" s="182">
        <f>$D$36</f>
        <v>3800</v>
      </c>
      <c r="G36" s="182">
        <f>$D$36</f>
        <v>3800</v>
      </c>
      <c r="H36" s="182">
        <f>$D$36</f>
        <v>3800</v>
      </c>
      <c r="I36" s="182">
        <f>$D$36</f>
        <v>3800</v>
      </c>
    </row>
    <row r="37" spans="1:10" ht="15" thickBot="1" x14ac:dyDescent="0.35">
      <c r="D37" s="183"/>
      <c r="E37" s="183"/>
      <c r="F37" s="183"/>
      <c r="G37" s="183"/>
      <c r="H37" s="183"/>
      <c r="I37" s="183"/>
    </row>
    <row r="38" spans="1:10" s="154" customFormat="1" x14ac:dyDescent="0.3">
      <c r="A38" s="83" t="s">
        <v>75</v>
      </c>
      <c r="B38" s="153"/>
      <c r="C38" s="153"/>
      <c r="D38" s="184">
        <f>D6-D25</f>
        <v>-5495.9834787875589</v>
      </c>
      <c r="E38" s="185">
        <f t="shared" ref="E38:I38" si="4">E6-E25</f>
        <v>-4868.7348740208454</v>
      </c>
      <c r="F38" s="184">
        <f t="shared" si="4"/>
        <v>-4285.3654345757641</v>
      </c>
      <c r="G38" s="185">
        <f t="shared" si="4"/>
        <v>-3701.9959951306791</v>
      </c>
      <c r="H38" s="184">
        <f t="shared" si="4"/>
        <v>-2259.1987395407778</v>
      </c>
      <c r="I38" s="186">
        <f t="shared" si="4"/>
        <v>-991.91814523742505</v>
      </c>
    </row>
    <row r="39" spans="1:10" s="154" customFormat="1" ht="15" thickBot="1" x14ac:dyDescent="0.35">
      <c r="A39" s="279" t="s">
        <v>76</v>
      </c>
      <c r="B39" s="285"/>
      <c r="C39" s="285"/>
      <c r="D39" s="280">
        <f>D6-D29</f>
        <v>-13154.143478787559</v>
      </c>
      <c r="E39" s="281">
        <f t="shared" ref="E39:I39" si="5">E6-E29</f>
        <v>-12526.894874020845</v>
      </c>
      <c r="F39" s="280">
        <f t="shared" si="5"/>
        <v>-11943.525434575764</v>
      </c>
      <c r="G39" s="281">
        <f t="shared" si="5"/>
        <v>-11360.155995130679</v>
      </c>
      <c r="H39" s="280">
        <f t="shared" si="5"/>
        <v>-9917.3587395407776</v>
      </c>
      <c r="I39" s="282">
        <f t="shared" si="5"/>
        <v>-8650.0781452374249</v>
      </c>
    </row>
    <row r="40" spans="1:10" x14ac:dyDescent="0.3">
      <c r="A40" s="283" t="s">
        <v>168</v>
      </c>
      <c r="B40" s="433"/>
      <c r="C40" s="433"/>
      <c r="D40" s="433"/>
      <c r="E40" s="433"/>
      <c r="F40" s="433"/>
      <c r="G40" s="433"/>
      <c r="H40" s="433"/>
      <c r="I40" s="434"/>
      <c r="J40" s="158"/>
    </row>
    <row r="41" spans="1:10" x14ac:dyDescent="0.3">
      <c r="A41" s="284" t="s">
        <v>77</v>
      </c>
      <c r="B41" s="430"/>
      <c r="C41" s="430"/>
      <c r="D41" s="430"/>
      <c r="E41" s="430"/>
      <c r="F41" s="430"/>
      <c r="G41" s="430"/>
      <c r="H41" s="430"/>
      <c r="I41" s="435"/>
      <c r="J41" s="158"/>
    </row>
    <row r="42" spans="1:10" ht="15" thickBot="1" x14ac:dyDescent="0.35">
      <c r="A42" s="436" t="s">
        <v>78</v>
      </c>
      <c r="B42" s="437"/>
      <c r="C42" s="437"/>
      <c r="D42" s="437"/>
      <c r="E42" s="437"/>
      <c r="F42" s="437"/>
      <c r="G42" s="437"/>
      <c r="H42" s="437"/>
      <c r="I42" s="438"/>
      <c r="J42" s="158"/>
    </row>
    <row r="43" spans="1:10" x14ac:dyDescent="0.3">
      <c r="A43" s="439" t="s">
        <v>79</v>
      </c>
      <c r="B43" s="440"/>
      <c r="C43" s="440"/>
      <c r="D43" s="440"/>
      <c r="E43" s="440"/>
      <c r="F43" s="440"/>
      <c r="G43" s="440"/>
      <c r="H43" s="440"/>
      <c r="I43" s="441"/>
    </row>
    <row r="44" spans="1:10" x14ac:dyDescent="0.3">
      <c r="A44" s="442"/>
      <c r="B44" s="431"/>
      <c r="C44" s="431"/>
      <c r="D44" s="431"/>
      <c r="E44" s="431"/>
      <c r="F44" s="431"/>
      <c r="G44" s="431"/>
      <c r="H44" s="431"/>
      <c r="I44" s="293"/>
    </row>
    <row r="45" spans="1:10" x14ac:dyDescent="0.3">
      <c r="A45" s="442"/>
      <c r="B45" s="431"/>
      <c r="C45" s="431"/>
      <c r="D45" s="431"/>
      <c r="E45" s="431"/>
      <c r="F45" s="431"/>
      <c r="G45" s="431"/>
      <c r="H45" s="431"/>
      <c r="I45" s="293"/>
    </row>
    <row r="46" spans="1:10" ht="15" thickBot="1" x14ac:dyDescent="0.35">
      <c r="A46" s="443"/>
      <c r="B46" s="444"/>
      <c r="C46" s="444"/>
      <c r="D46" s="444"/>
      <c r="E46" s="444"/>
      <c r="F46" s="444"/>
      <c r="G46" s="444"/>
      <c r="H46" s="444"/>
      <c r="I46" s="294"/>
    </row>
    <row r="47" spans="1:10" x14ac:dyDescent="0.3">
      <c r="A47" s="219"/>
      <c r="B47" s="219"/>
      <c r="C47" s="219"/>
      <c r="D47" s="219"/>
      <c r="E47" s="219"/>
      <c r="F47" s="219"/>
      <c r="G47" s="219"/>
      <c r="H47" s="219"/>
      <c r="I47" s="219"/>
    </row>
    <row r="48" spans="1:10" x14ac:dyDescent="0.3">
      <c r="A48" s="219"/>
      <c r="B48" s="219"/>
      <c r="C48" s="219"/>
      <c r="D48" s="219"/>
      <c r="E48" s="219"/>
      <c r="F48" s="219"/>
      <c r="G48" s="219"/>
      <c r="H48" s="219"/>
      <c r="I48" s="219"/>
    </row>
  </sheetData>
  <mergeCells count="13">
    <mergeCell ref="A27:C27"/>
    <mergeCell ref="A29:C29"/>
    <mergeCell ref="M7:O7"/>
    <mergeCell ref="A43:H46"/>
    <mergeCell ref="A1:D1"/>
    <mergeCell ref="E1:G1"/>
    <mergeCell ref="A31:C31"/>
    <mergeCell ref="A35:C35"/>
    <mergeCell ref="A3:C3"/>
    <mergeCell ref="A8:C8"/>
    <mergeCell ref="A25:C25"/>
    <mergeCell ref="A38:C38"/>
    <mergeCell ref="A39:C39"/>
  </mergeCells>
  <phoneticPr fontId="0" type="noConversion"/>
  <conditionalFormatting sqref="D38:I39">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59" fitToHeight="0" orientation="portrait" verticalDpi="300" r:id="rId1"/>
  <headerFooter alignWithMargins="0">
    <oddHeader>&amp;F</oddHeader>
    <oddFooter>&amp;A&amp;RPage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47"/>
  <sheetViews>
    <sheetView zoomScale="70" zoomScaleNormal="70" workbookViewId="0">
      <selection activeCell="A8" sqref="A8:XFD25"/>
    </sheetView>
  </sheetViews>
  <sheetFormatPr defaultColWidth="9.109375" defaultRowHeight="14.4" x14ac:dyDescent="0.3"/>
  <cols>
    <col min="1" max="1" width="41.6640625" style="93" customWidth="1"/>
    <col min="2" max="2" width="15.6640625" style="93" customWidth="1"/>
    <col min="3" max="3" width="35.21875" style="93" customWidth="1"/>
    <col min="4" max="4" width="15" style="93" customWidth="1"/>
    <col min="5" max="9" width="14.33203125" style="93" customWidth="1"/>
    <col min="10" max="10" width="14.44140625" style="93" customWidth="1"/>
    <col min="11" max="12" width="12.6640625" style="93" customWidth="1"/>
    <col min="13" max="15" width="12.6640625" style="93" hidden="1" customWidth="1"/>
    <col min="16" max="26" width="12.6640625" style="93" customWidth="1"/>
    <col min="27" max="16384" width="9.109375" style="93"/>
  </cols>
  <sheetData>
    <row r="1" spans="1:15" s="93" customFormat="1" ht="31.5" customHeight="1" thickBot="1" x14ac:dyDescent="0.35">
      <c r="A1" s="78" t="s">
        <v>170</v>
      </c>
      <c r="B1" s="90"/>
      <c r="C1" s="90"/>
      <c r="D1" s="90"/>
      <c r="E1" s="79" t="s">
        <v>84</v>
      </c>
      <c r="F1" s="79"/>
      <c r="G1" s="79"/>
      <c r="H1" s="91"/>
      <c r="I1" s="92"/>
    </row>
    <row r="2" spans="1:15" s="93" customFormat="1" ht="15" thickBot="1" x14ac:dyDescent="0.35">
      <c r="A2" s="94"/>
      <c r="B2" s="95"/>
      <c r="C2" s="96"/>
      <c r="D2" s="96"/>
      <c r="E2" s="96"/>
      <c r="F2" s="96"/>
      <c r="G2" s="96"/>
      <c r="H2" s="96"/>
      <c r="I2" s="97"/>
    </row>
    <row r="3" spans="1:15" s="93" customFormat="1" ht="31.8" customHeight="1" thickBot="1" x14ac:dyDescent="0.35">
      <c r="A3" s="98" t="s">
        <v>43</v>
      </c>
      <c r="B3" s="99"/>
      <c r="C3" s="99"/>
      <c r="D3" s="100"/>
      <c r="E3" s="191">
        <f>'Pryse + Sensatiwiteitsanali'!B66</f>
        <v>9526.73</v>
      </c>
      <c r="F3" s="100" t="s">
        <v>44</v>
      </c>
      <c r="G3" s="102"/>
      <c r="H3" s="102"/>
      <c r="I3" s="103"/>
    </row>
    <row r="4" spans="1:15" s="93" customFormat="1" ht="15" thickBot="1" x14ac:dyDescent="0.35">
      <c r="A4" s="104"/>
      <c r="B4" s="105"/>
      <c r="C4" s="105"/>
      <c r="D4" s="106"/>
      <c r="E4" s="107"/>
      <c r="F4" s="108"/>
      <c r="G4" s="105"/>
      <c r="H4" s="109"/>
      <c r="I4" s="109"/>
    </row>
    <row r="5" spans="1:15" s="93" customFormat="1" ht="15" thickBot="1" x14ac:dyDescent="0.35">
      <c r="A5" s="110" t="s">
        <v>45</v>
      </c>
      <c r="B5" s="105"/>
      <c r="C5" s="105"/>
      <c r="D5" s="111">
        <v>1</v>
      </c>
      <c r="E5" s="111">
        <v>1.25</v>
      </c>
      <c r="F5" s="111">
        <v>1.5</v>
      </c>
      <c r="G5" s="111">
        <v>1.75</v>
      </c>
      <c r="H5" s="111">
        <v>2</v>
      </c>
      <c r="I5" s="111">
        <v>2.5</v>
      </c>
    </row>
    <row r="6" spans="1:15" s="93" customFormat="1" ht="15" thickBot="1" x14ac:dyDescent="0.35">
      <c r="A6" s="113" t="s">
        <v>46</v>
      </c>
      <c r="B6" s="114"/>
      <c r="C6" s="115"/>
      <c r="D6" s="172">
        <v>8626.73</v>
      </c>
      <c r="E6" s="172">
        <v>10783.412499999999</v>
      </c>
      <c r="F6" s="172">
        <v>12940.094999999999</v>
      </c>
      <c r="G6" s="172">
        <v>15096.7775</v>
      </c>
      <c r="H6" s="172">
        <v>17253.46</v>
      </c>
      <c r="I6" s="172">
        <v>21566.824999999997</v>
      </c>
    </row>
    <row r="7" spans="1:15" s="93" customFormat="1" ht="15" thickBot="1" x14ac:dyDescent="0.35">
      <c r="A7" s="118"/>
      <c r="B7" s="119"/>
      <c r="C7" s="119"/>
      <c r="D7" s="173"/>
      <c r="E7" s="173"/>
      <c r="F7" s="173"/>
      <c r="G7" s="173"/>
      <c r="H7" s="173"/>
      <c r="I7" s="173"/>
      <c r="M7" s="80" t="s">
        <v>85</v>
      </c>
      <c r="N7" s="80"/>
      <c r="O7" s="80"/>
    </row>
    <row r="8" spans="1:15" s="93" customFormat="1" ht="15" thickBot="1" x14ac:dyDescent="0.35">
      <c r="A8" s="121" t="s">
        <v>48</v>
      </c>
      <c r="B8" s="122"/>
      <c r="C8" s="123"/>
      <c r="D8" s="174"/>
      <c r="E8" s="174"/>
      <c r="F8" s="174"/>
      <c r="G8" s="174"/>
      <c r="H8" s="174"/>
      <c r="I8" s="174"/>
      <c r="M8" s="81" t="s">
        <v>49</v>
      </c>
      <c r="N8" s="81" t="s">
        <v>50</v>
      </c>
      <c r="O8" s="81" t="s">
        <v>51</v>
      </c>
    </row>
    <row r="9" spans="1:15" s="93" customFormat="1" x14ac:dyDescent="0.3">
      <c r="A9" s="125" t="s">
        <v>52</v>
      </c>
      <c r="B9" s="126"/>
      <c r="C9" s="126"/>
      <c r="D9" s="175">
        <v>832.48526666666658</v>
      </c>
      <c r="E9" s="175">
        <v>891.94849999999997</v>
      </c>
      <c r="F9" s="175">
        <v>951.41173333333325</v>
      </c>
      <c r="G9" s="175">
        <v>1010.8749666666666</v>
      </c>
      <c r="H9" s="175">
        <v>1070.3381999999999</v>
      </c>
      <c r="I9" s="175">
        <v>1070.3381999999999</v>
      </c>
      <c r="K9" s="127"/>
      <c r="M9" s="82">
        <f>D5</f>
        <v>1</v>
      </c>
      <c r="N9" s="82">
        <f>D25</f>
        <v>9463.3568005316247</v>
      </c>
      <c r="O9" s="82">
        <f>D27</f>
        <v>6336.2800000000007</v>
      </c>
    </row>
    <row r="10" spans="1:15" s="93" customFormat="1" x14ac:dyDescent="0.3">
      <c r="A10" s="128" t="s">
        <v>53</v>
      </c>
      <c r="B10" s="129"/>
      <c r="C10" s="129"/>
      <c r="D10" s="176">
        <v>1409.33</v>
      </c>
      <c r="E10" s="176">
        <v>1736.6624999999999</v>
      </c>
      <c r="F10" s="176">
        <v>2063.9949999999999</v>
      </c>
      <c r="G10" s="176">
        <v>2391.3274999999999</v>
      </c>
      <c r="H10" s="176">
        <v>2718.66</v>
      </c>
      <c r="I10" s="176">
        <v>3373.3249999999998</v>
      </c>
      <c r="K10" s="127"/>
      <c r="M10" s="82">
        <f>E5</f>
        <v>1.25</v>
      </c>
      <c r="N10" s="82">
        <f>E25</f>
        <v>10029.27805800128</v>
      </c>
      <c r="O10" s="82">
        <f>E27</f>
        <v>6336.2800000000007</v>
      </c>
    </row>
    <row r="11" spans="1:15" s="93" customFormat="1" x14ac:dyDescent="0.3">
      <c r="A11" s="128" t="s">
        <v>54</v>
      </c>
      <c r="B11" s="129"/>
      <c r="C11" s="129"/>
      <c r="D11" s="176">
        <v>800</v>
      </c>
      <c r="E11" s="176">
        <v>800</v>
      </c>
      <c r="F11" s="176">
        <v>800</v>
      </c>
      <c r="G11" s="176">
        <v>800</v>
      </c>
      <c r="H11" s="176">
        <v>800</v>
      </c>
      <c r="I11" s="176">
        <v>800</v>
      </c>
      <c r="K11" s="127"/>
      <c r="M11" s="82">
        <f>F5</f>
        <v>1.5</v>
      </c>
      <c r="N11" s="82">
        <f>F25</f>
        <v>10595.19931547094</v>
      </c>
      <c r="O11" s="82">
        <f>F27</f>
        <v>6336.2800000000007</v>
      </c>
    </row>
    <row r="12" spans="1:15" s="93" customFormat="1" x14ac:dyDescent="0.3">
      <c r="A12" s="128" t="s">
        <v>55</v>
      </c>
      <c r="B12" s="129"/>
      <c r="C12" s="129"/>
      <c r="D12" s="176">
        <v>1340.9607679999999</v>
      </c>
      <c r="E12" s="176">
        <v>1357.5207679999999</v>
      </c>
      <c r="F12" s="176">
        <v>1374.080768</v>
      </c>
      <c r="G12" s="176">
        <v>1390.640768</v>
      </c>
      <c r="H12" s="176">
        <v>1407.2007679999999</v>
      </c>
      <c r="I12" s="176">
        <v>1429.2807680000001</v>
      </c>
      <c r="K12" s="127"/>
      <c r="M12" s="82">
        <f>G5</f>
        <v>1.75</v>
      </c>
      <c r="N12" s="82">
        <f>G25</f>
        <v>11161.120572940597</v>
      </c>
      <c r="O12" s="82">
        <f>G27</f>
        <v>6336.2800000000007</v>
      </c>
    </row>
    <row r="13" spans="1:15" s="93" customFormat="1" x14ac:dyDescent="0.3">
      <c r="A13" s="128" t="s">
        <v>56</v>
      </c>
      <c r="B13" s="129"/>
      <c r="C13" s="129"/>
      <c r="D13" s="176">
        <v>1261.9687333333331</v>
      </c>
      <c r="E13" s="176">
        <v>1263.1570666666667</v>
      </c>
      <c r="F13" s="176">
        <v>1264.3453999999999</v>
      </c>
      <c r="G13" s="176">
        <v>1265.5337333333332</v>
      </c>
      <c r="H13" s="176">
        <v>1266.7220666666667</v>
      </c>
      <c r="I13" s="176">
        <v>1269.0987333333333</v>
      </c>
      <c r="K13" s="127"/>
      <c r="M13" s="82">
        <f>H5</f>
        <v>2</v>
      </c>
      <c r="N13" s="82">
        <f>H25</f>
        <v>11727.041830410251</v>
      </c>
      <c r="O13" s="82">
        <f>H27</f>
        <v>6336.2800000000007</v>
      </c>
    </row>
    <row r="14" spans="1:15" s="93" customFormat="1" x14ac:dyDescent="0.3">
      <c r="A14" s="128" t="s">
        <v>57</v>
      </c>
      <c r="B14" s="129"/>
      <c r="C14" s="129"/>
      <c r="D14" s="176">
        <v>1305.5999999999999</v>
      </c>
      <c r="E14" s="176">
        <v>1305.5999999999999</v>
      </c>
      <c r="F14" s="176">
        <v>1305.5999999999999</v>
      </c>
      <c r="G14" s="176">
        <v>1305.5999999999999</v>
      </c>
      <c r="H14" s="176">
        <v>1305.5999999999999</v>
      </c>
      <c r="I14" s="176">
        <v>1305.5999999999999</v>
      </c>
      <c r="K14" s="127"/>
      <c r="M14" s="82">
        <f>I5</f>
        <v>2.5</v>
      </c>
      <c r="N14" s="82">
        <f>I25</f>
        <v>12715.151800235391</v>
      </c>
      <c r="O14" s="82">
        <f>I27</f>
        <v>6336.2800000000007</v>
      </c>
    </row>
    <row r="15" spans="1:15" s="93" customFormat="1" x14ac:dyDescent="0.3">
      <c r="A15" s="128" t="s">
        <v>58</v>
      </c>
      <c r="B15" s="129"/>
      <c r="C15" s="129"/>
      <c r="D15" s="176">
        <v>677.95</v>
      </c>
      <c r="E15" s="176">
        <v>677.95</v>
      </c>
      <c r="F15" s="176">
        <v>677.95</v>
      </c>
      <c r="G15" s="176">
        <v>677.95</v>
      </c>
      <c r="H15" s="176">
        <v>677.95</v>
      </c>
      <c r="I15" s="176">
        <v>677.95</v>
      </c>
      <c r="K15" s="127"/>
    </row>
    <row r="16" spans="1:15" s="93" customFormat="1" x14ac:dyDescent="0.3">
      <c r="A16" s="128" t="s">
        <v>59</v>
      </c>
      <c r="B16" s="129"/>
      <c r="C16" s="129"/>
      <c r="D16" s="176"/>
      <c r="E16" s="176"/>
      <c r="F16" s="176"/>
      <c r="G16" s="176"/>
      <c r="H16" s="176"/>
      <c r="I16" s="176"/>
      <c r="K16" s="127"/>
    </row>
    <row r="17" spans="1:11" s="93" customFormat="1" x14ac:dyDescent="0.3">
      <c r="A17" s="128" t="s">
        <v>60</v>
      </c>
      <c r="B17" s="129"/>
      <c r="C17" s="129"/>
      <c r="D17" s="176">
        <v>360.18193491554808</v>
      </c>
      <c r="E17" s="176">
        <v>381.72129117376403</v>
      </c>
      <c r="F17" s="176">
        <v>403.26064743197998</v>
      </c>
      <c r="G17" s="176">
        <v>424.80000369019592</v>
      </c>
      <c r="H17" s="176">
        <v>446.33935994841187</v>
      </c>
      <c r="I17" s="176">
        <v>483.94751193323071</v>
      </c>
      <c r="K17" s="127"/>
    </row>
    <row r="18" spans="1:11" s="93" customFormat="1" x14ac:dyDescent="0.3">
      <c r="A18" s="128" t="s">
        <v>61</v>
      </c>
      <c r="B18" s="129"/>
      <c r="C18" s="129"/>
      <c r="D18" s="176"/>
      <c r="E18" s="176"/>
      <c r="F18" s="176"/>
      <c r="G18" s="176"/>
      <c r="H18" s="176"/>
      <c r="I18" s="176"/>
      <c r="K18" s="127"/>
    </row>
    <row r="19" spans="1:11" s="93" customFormat="1" x14ac:dyDescent="0.3">
      <c r="A19" s="128" t="s">
        <v>62</v>
      </c>
      <c r="B19" s="129"/>
      <c r="C19" s="129"/>
      <c r="D19" s="176">
        <v>428.70284999999996</v>
      </c>
      <c r="E19" s="176">
        <v>535.87856249999993</v>
      </c>
      <c r="F19" s="176">
        <v>643.05427499999996</v>
      </c>
      <c r="G19" s="176">
        <v>750.22998749999999</v>
      </c>
      <c r="H19" s="176">
        <v>857.40569999999991</v>
      </c>
      <c r="I19" s="176">
        <v>1071.7571249999999</v>
      </c>
      <c r="K19" s="127"/>
    </row>
    <row r="20" spans="1:11" s="93" customFormat="1" x14ac:dyDescent="0.3">
      <c r="A20" s="128" t="s">
        <v>63</v>
      </c>
      <c r="B20" s="129"/>
      <c r="C20" s="129"/>
      <c r="D20" s="176">
        <v>200</v>
      </c>
      <c r="E20" s="176">
        <v>200</v>
      </c>
      <c r="F20" s="176">
        <v>200</v>
      </c>
      <c r="G20" s="176">
        <v>200</v>
      </c>
      <c r="H20" s="176">
        <v>200</v>
      </c>
      <c r="I20" s="176">
        <v>200</v>
      </c>
      <c r="K20" s="127"/>
    </row>
    <row r="21" spans="1:11" s="93" customFormat="1" x14ac:dyDescent="0.3">
      <c r="A21" s="128" t="s">
        <v>64</v>
      </c>
      <c r="B21" s="129"/>
      <c r="C21" s="129"/>
      <c r="D21" s="176">
        <v>300</v>
      </c>
      <c r="E21" s="176">
        <v>300</v>
      </c>
      <c r="F21" s="176">
        <v>300</v>
      </c>
      <c r="G21" s="176">
        <v>300</v>
      </c>
      <c r="H21" s="176">
        <v>300</v>
      </c>
      <c r="I21" s="176">
        <v>300</v>
      </c>
      <c r="K21" s="127"/>
    </row>
    <row r="22" spans="1:11" s="93" customFormat="1" x14ac:dyDescent="0.3">
      <c r="A22" s="128" t="s">
        <v>65</v>
      </c>
      <c r="B22" s="129"/>
      <c r="C22" s="129"/>
      <c r="D22" s="176"/>
      <c r="E22" s="176"/>
      <c r="F22" s="176"/>
      <c r="G22" s="176"/>
      <c r="H22" s="176"/>
      <c r="I22" s="176"/>
      <c r="K22" s="127"/>
    </row>
    <row r="23" spans="1:11" s="93" customFormat="1" x14ac:dyDescent="0.3">
      <c r="A23" s="128" t="str">
        <f>'W-BT Mielies '!A23</f>
        <v>Oorlê land koste / overlay costs</v>
      </c>
      <c r="B23" s="129"/>
      <c r="C23" s="129"/>
      <c r="D23" s="176"/>
      <c r="E23" s="176"/>
      <c r="F23" s="176"/>
      <c r="G23" s="176"/>
      <c r="H23" s="176"/>
      <c r="I23" s="176"/>
      <c r="K23" s="127"/>
    </row>
    <row r="24" spans="1:11" s="93" customFormat="1" ht="15" thickBot="1" x14ac:dyDescent="0.35">
      <c r="A24" s="128" t="s">
        <v>67</v>
      </c>
      <c r="B24" s="129"/>
      <c r="C24" s="129"/>
      <c r="D24" s="176">
        <v>546.17724761607735</v>
      </c>
      <c r="E24" s="176">
        <v>578.83936966085128</v>
      </c>
      <c r="F24" s="176">
        <v>611.50149170562554</v>
      </c>
      <c r="G24" s="176">
        <v>644.16361375039946</v>
      </c>
      <c r="H24" s="176">
        <v>676.8257357951735</v>
      </c>
      <c r="I24" s="176">
        <v>733.85446196882697</v>
      </c>
      <c r="K24" s="127"/>
    </row>
    <row r="25" spans="1:11" s="93" customFormat="1" ht="15" thickBot="1" x14ac:dyDescent="0.35">
      <c r="A25" s="131" t="s">
        <v>68</v>
      </c>
      <c r="B25" s="132"/>
      <c r="C25" s="133"/>
      <c r="D25" s="177">
        <f>SUM(D9:D24)</f>
        <v>9463.3568005316247</v>
      </c>
      <c r="E25" s="177">
        <f t="shared" ref="E25:I25" si="0">SUM(E9:E24)</f>
        <v>10029.27805800128</v>
      </c>
      <c r="F25" s="177">
        <f t="shared" si="0"/>
        <v>10595.19931547094</v>
      </c>
      <c r="G25" s="177">
        <f t="shared" si="0"/>
        <v>11161.120572940597</v>
      </c>
      <c r="H25" s="177">
        <f t="shared" si="0"/>
        <v>11727.041830410251</v>
      </c>
      <c r="I25" s="177">
        <f t="shared" si="0"/>
        <v>12715.151800235391</v>
      </c>
      <c r="K25" s="127"/>
    </row>
    <row r="26" spans="1:11" s="93" customFormat="1" ht="15" thickBot="1" x14ac:dyDescent="0.35">
      <c r="A26" s="135"/>
      <c r="B26" s="136"/>
      <c r="C26" s="136"/>
      <c r="D26" s="178"/>
      <c r="E26" s="178"/>
      <c r="F26" s="178"/>
      <c r="G26" s="178"/>
      <c r="H26" s="178"/>
      <c r="I26" s="178"/>
    </row>
    <row r="27" spans="1:11" s="93" customFormat="1" ht="15" thickBot="1" x14ac:dyDescent="0.35">
      <c r="A27" s="138" t="s">
        <v>69</v>
      </c>
      <c r="B27" s="139"/>
      <c r="C27" s="140"/>
      <c r="D27" s="179">
        <v>6336.2800000000007</v>
      </c>
      <c r="E27" s="180">
        <v>6336.2800000000007</v>
      </c>
      <c r="F27" s="180">
        <v>6336.2800000000007</v>
      </c>
      <c r="G27" s="180">
        <v>6336.2800000000007</v>
      </c>
      <c r="H27" s="180">
        <v>6336.2800000000007</v>
      </c>
      <c r="I27" s="180">
        <v>6336.2800000000007</v>
      </c>
      <c r="J27" s="194"/>
    </row>
    <row r="28" spans="1:11" s="93" customFormat="1" ht="15" thickBot="1" x14ac:dyDescent="0.35">
      <c r="A28" s="135"/>
      <c r="B28" s="136"/>
      <c r="C28" s="136"/>
      <c r="D28" s="178"/>
      <c r="E28" s="178"/>
      <c r="F28" s="178"/>
      <c r="G28" s="178"/>
      <c r="H28" s="178"/>
      <c r="I28" s="178"/>
    </row>
    <row r="29" spans="1:11" s="93" customFormat="1" ht="15" thickBot="1" x14ac:dyDescent="0.35">
      <c r="A29" s="131" t="s">
        <v>70</v>
      </c>
      <c r="B29" s="132"/>
      <c r="C29" s="133"/>
      <c r="D29" s="177">
        <f>D25+D27</f>
        <v>15799.636800531625</v>
      </c>
      <c r="E29" s="177">
        <f t="shared" ref="E29:I29" si="1">E25+E27</f>
        <v>16365.558058001281</v>
      </c>
      <c r="F29" s="177">
        <f t="shared" si="1"/>
        <v>16931.47931547094</v>
      </c>
      <c r="G29" s="177">
        <f t="shared" si="1"/>
        <v>17497.400572940598</v>
      </c>
      <c r="H29" s="177">
        <f t="shared" si="1"/>
        <v>18063.321830410252</v>
      </c>
      <c r="I29" s="177">
        <f t="shared" si="1"/>
        <v>19051.43180023539</v>
      </c>
    </row>
    <row r="30" spans="1:11" s="93" customFormat="1" ht="15" thickBot="1" x14ac:dyDescent="0.35">
      <c r="A30" s="141"/>
      <c r="B30" s="142"/>
      <c r="C30" s="142"/>
      <c r="D30" s="181"/>
      <c r="E30" s="181"/>
      <c r="F30" s="181"/>
      <c r="G30" s="181"/>
      <c r="H30" s="181"/>
      <c r="I30" s="181"/>
    </row>
    <row r="31" spans="1:11" s="93" customFormat="1" ht="15" thickBot="1" x14ac:dyDescent="0.35">
      <c r="A31" s="131" t="s">
        <v>71</v>
      </c>
      <c r="B31" s="144"/>
      <c r="C31" s="145"/>
      <c r="D31" s="177">
        <f>D29/D5</f>
        <v>15799.636800531625</v>
      </c>
      <c r="E31" s="177">
        <f t="shared" ref="E31:I31" si="2">E29/E5</f>
        <v>13092.446446401025</v>
      </c>
      <c r="F31" s="177">
        <f t="shared" si="2"/>
        <v>11287.652876980626</v>
      </c>
      <c r="G31" s="177">
        <f t="shared" si="2"/>
        <v>9998.5146131089132</v>
      </c>
      <c r="H31" s="177">
        <f t="shared" si="2"/>
        <v>9031.660915205126</v>
      </c>
      <c r="I31" s="177">
        <f t="shared" si="2"/>
        <v>7620.5727200941565</v>
      </c>
    </row>
    <row r="32" spans="1:11" s="93" customFormat="1" ht="15" thickBot="1" x14ac:dyDescent="0.35">
      <c r="A32" s="118"/>
      <c r="B32" s="119"/>
      <c r="C32" s="119"/>
      <c r="D32" s="181"/>
      <c r="E32" s="181"/>
      <c r="F32" s="181"/>
      <c r="G32" s="181"/>
      <c r="H32" s="181"/>
      <c r="I32" s="181"/>
    </row>
    <row r="33" spans="1:10" s="93" customFormat="1" ht="15" thickBot="1" x14ac:dyDescent="0.35">
      <c r="A33" s="146" t="s">
        <v>72</v>
      </c>
      <c r="B33" s="114"/>
      <c r="C33" s="114"/>
      <c r="D33" s="177">
        <f>'Pryse + Sensatiwiteitsanali'!$D$5</f>
        <v>473.27</v>
      </c>
      <c r="E33" s="177">
        <f>'Pryse + Sensatiwiteitsanali'!$D$5</f>
        <v>473.27</v>
      </c>
      <c r="F33" s="177">
        <f>'Pryse + Sensatiwiteitsanali'!$D$5</f>
        <v>473.27</v>
      </c>
      <c r="G33" s="177">
        <f>'Pryse + Sensatiwiteitsanali'!$D$5</f>
        <v>473.27</v>
      </c>
      <c r="H33" s="177">
        <f>'Pryse + Sensatiwiteitsanali'!$D$5</f>
        <v>473.27</v>
      </c>
      <c r="I33" s="177">
        <f>'Pryse + Sensatiwiteitsanali'!$D$5</f>
        <v>473.27</v>
      </c>
    </row>
    <row r="34" spans="1:10" s="93" customFormat="1" ht="15" thickBot="1" x14ac:dyDescent="0.35">
      <c r="A34" s="118"/>
      <c r="B34" s="119"/>
      <c r="C34" s="119"/>
      <c r="D34" s="181"/>
      <c r="E34" s="181"/>
      <c r="F34" s="181"/>
      <c r="G34" s="181"/>
      <c r="H34" s="181"/>
      <c r="I34" s="181"/>
    </row>
    <row r="35" spans="1:10" s="93" customFormat="1" ht="15" thickBot="1" x14ac:dyDescent="0.35">
      <c r="A35" s="147" t="s">
        <v>73</v>
      </c>
      <c r="B35" s="148"/>
      <c r="C35" s="149"/>
      <c r="D35" s="182">
        <f>D31+D33</f>
        <v>16272.906800531626</v>
      </c>
      <c r="E35" s="182">
        <f t="shared" ref="E35:I35" si="3">E31+E33</f>
        <v>13565.716446401026</v>
      </c>
      <c r="F35" s="182">
        <f t="shared" si="3"/>
        <v>11760.922876980627</v>
      </c>
      <c r="G35" s="182">
        <f t="shared" si="3"/>
        <v>10471.784613108914</v>
      </c>
      <c r="H35" s="182">
        <f t="shared" si="3"/>
        <v>9504.9309152051264</v>
      </c>
      <c r="I35" s="182">
        <f t="shared" si="3"/>
        <v>8093.8427200941569</v>
      </c>
    </row>
    <row r="36" spans="1:10" s="93" customFormat="1" ht="15" thickBot="1" x14ac:dyDescent="0.35">
      <c r="A36" s="190" t="s">
        <v>74</v>
      </c>
      <c r="B36" s="151"/>
      <c r="C36" s="152"/>
      <c r="D36" s="182">
        <f>'Pryse + Sensatiwiteitsanali'!B5</f>
        <v>10000</v>
      </c>
      <c r="E36" s="182">
        <f>$D$36</f>
        <v>10000</v>
      </c>
      <c r="F36" s="182">
        <f>$D$36</f>
        <v>10000</v>
      </c>
      <c r="G36" s="182">
        <f>$D$36</f>
        <v>10000</v>
      </c>
      <c r="H36" s="182">
        <f>$D$36</f>
        <v>10000</v>
      </c>
      <c r="I36" s="182">
        <f>$D$36</f>
        <v>10000</v>
      </c>
    </row>
    <row r="37" spans="1:10" s="93" customFormat="1" ht="15" thickBot="1" x14ac:dyDescent="0.35">
      <c r="D37" s="183"/>
      <c r="E37" s="183"/>
      <c r="F37" s="183"/>
      <c r="G37" s="183"/>
      <c r="H37" s="183"/>
      <c r="I37" s="183"/>
    </row>
    <row r="38" spans="1:10" s="154" customFormat="1" x14ac:dyDescent="0.3">
      <c r="A38" s="83" t="s">
        <v>75</v>
      </c>
      <c r="B38" s="153"/>
      <c r="C38" s="153"/>
      <c r="D38" s="184">
        <f>D6-D25</f>
        <v>-836.62680053162512</v>
      </c>
      <c r="E38" s="185">
        <f t="shared" ref="E38:I38" si="4">E6-E25</f>
        <v>754.1344419987181</v>
      </c>
      <c r="F38" s="184">
        <f t="shared" si="4"/>
        <v>2344.8956845290595</v>
      </c>
      <c r="G38" s="185">
        <f t="shared" si="4"/>
        <v>3935.6569270594027</v>
      </c>
      <c r="H38" s="184">
        <f t="shared" si="4"/>
        <v>5526.4181695897478</v>
      </c>
      <c r="I38" s="186">
        <f t="shared" si="4"/>
        <v>8851.6731997646057</v>
      </c>
    </row>
    <row r="39" spans="1:10" s="154" customFormat="1" ht="15" thickBot="1" x14ac:dyDescent="0.35">
      <c r="A39" s="279" t="s">
        <v>76</v>
      </c>
      <c r="B39" s="285"/>
      <c r="C39" s="285"/>
      <c r="D39" s="280">
        <f t="shared" ref="D39:I39" si="5">D6-D29</f>
        <v>-7172.9068005316258</v>
      </c>
      <c r="E39" s="281">
        <f t="shared" si="5"/>
        <v>-5582.1455580012826</v>
      </c>
      <c r="F39" s="280">
        <f>F6-F29</f>
        <v>-3991.3843154709411</v>
      </c>
      <c r="G39" s="281">
        <f t="shared" si="5"/>
        <v>-2400.6230729405979</v>
      </c>
      <c r="H39" s="280">
        <f t="shared" si="5"/>
        <v>-809.86183041025288</v>
      </c>
      <c r="I39" s="282">
        <f t="shared" si="5"/>
        <v>2515.3931997646068</v>
      </c>
    </row>
    <row r="40" spans="1:10" s="93" customFormat="1" ht="13.2" customHeight="1" x14ac:dyDescent="0.3">
      <c r="A40" s="283" t="s">
        <v>168</v>
      </c>
      <c r="B40" s="286"/>
      <c r="C40" s="286"/>
      <c r="D40" s="286"/>
      <c r="E40" s="286"/>
      <c r="F40" s="286"/>
      <c r="G40" s="286"/>
      <c r="H40" s="286"/>
      <c r="I40" s="287"/>
      <c r="J40" s="267"/>
    </row>
    <row r="41" spans="1:10" s="93" customFormat="1" ht="13.2" customHeight="1" x14ac:dyDescent="0.3">
      <c r="A41" s="284" t="s">
        <v>77</v>
      </c>
      <c r="B41" s="288"/>
      <c r="C41" s="288"/>
      <c r="D41" s="288"/>
      <c r="E41" s="288"/>
      <c r="F41" s="288"/>
      <c r="G41" s="288"/>
      <c r="H41" s="288"/>
      <c r="I41" s="289"/>
      <c r="J41" s="267"/>
    </row>
    <row r="42" spans="1:10" s="93" customFormat="1" ht="13.8" customHeight="1" x14ac:dyDescent="0.3">
      <c r="A42" s="284" t="s">
        <v>78</v>
      </c>
      <c r="B42" s="288"/>
      <c r="C42" s="288"/>
      <c r="D42" s="288"/>
      <c r="E42" s="288"/>
      <c r="F42" s="288"/>
      <c r="G42" s="288"/>
      <c r="H42" s="288"/>
      <c r="I42" s="289"/>
      <c r="J42" s="267"/>
    </row>
    <row r="43" spans="1:10" s="93" customFormat="1" ht="15" thickBot="1" x14ac:dyDescent="0.35">
      <c r="A43" s="290"/>
      <c r="B43" s="291"/>
      <c r="C43" s="291"/>
      <c r="D43" s="291"/>
      <c r="E43" s="291"/>
      <c r="F43" s="291"/>
      <c r="G43" s="291"/>
      <c r="H43" s="291"/>
      <c r="I43" s="292"/>
      <c r="J43" s="219"/>
    </row>
    <row r="44" spans="1:10" s="93" customFormat="1" x14ac:dyDescent="0.3">
      <c r="A44" s="204" t="s">
        <v>79</v>
      </c>
      <c r="B44" s="201"/>
      <c r="C44" s="201"/>
      <c r="D44" s="201"/>
      <c r="E44" s="201"/>
      <c r="F44" s="201"/>
      <c r="G44" s="201"/>
      <c r="H44" s="201"/>
      <c r="I44" s="293"/>
      <c r="J44" s="219"/>
    </row>
    <row r="45" spans="1:10" s="93" customFormat="1" x14ac:dyDescent="0.3">
      <c r="A45" s="204"/>
      <c r="B45" s="201"/>
      <c r="C45" s="201"/>
      <c r="D45" s="201"/>
      <c r="E45" s="201"/>
      <c r="F45" s="201"/>
      <c r="G45" s="201"/>
      <c r="H45" s="201"/>
      <c r="I45" s="293"/>
    </row>
    <row r="46" spans="1:10" s="93" customFormat="1" x14ac:dyDescent="0.3">
      <c r="A46" s="204"/>
      <c r="B46" s="201"/>
      <c r="C46" s="201"/>
      <c r="D46" s="201"/>
      <c r="E46" s="201"/>
      <c r="F46" s="201"/>
      <c r="G46" s="201"/>
      <c r="H46" s="201"/>
      <c r="I46" s="293"/>
    </row>
    <row r="47" spans="1:10" s="93" customFormat="1" ht="15" thickBot="1" x14ac:dyDescent="0.35">
      <c r="A47" s="205"/>
      <c r="B47" s="206"/>
      <c r="C47" s="206"/>
      <c r="D47" s="206"/>
      <c r="E47" s="206"/>
      <c r="F47" s="206"/>
      <c r="G47" s="206"/>
      <c r="H47" s="206"/>
      <c r="I47" s="294"/>
    </row>
  </sheetData>
  <mergeCells count="13">
    <mergeCell ref="A44:H47"/>
    <mergeCell ref="A38:C38"/>
    <mergeCell ref="A39:C39"/>
    <mergeCell ref="M7:O7"/>
    <mergeCell ref="A1:D1"/>
    <mergeCell ref="E1:G1"/>
    <mergeCell ref="A31:C31"/>
    <mergeCell ref="A35:C35"/>
    <mergeCell ref="A3:C3"/>
    <mergeCell ref="A8:C8"/>
    <mergeCell ref="A25:C25"/>
    <mergeCell ref="A27:C27"/>
    <mergeCell ref="A29:C29"/>
  </mergeCells>
  <phoneticPr fontId="0" type="noConversion"/>
  <conditionalFormatting sqref="D38:I39">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61" fitToHeight="0" orientation="portrait" r:id="rId1"/>
  <headerFooter alignWithMargins="0">
    <oddHeader>&amp;F</oddHeader>
    <oddFooter>&amp;A&amp;RPage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46"/>
  <sheetViews>
    <sheetView zoomScale="80" zoomScaleNormal="80" workbookViewId="0">
      <selection activeCell="A8" sqref="A8:XFD24"/>
    </sheetView>
  </sheetViews>
  <sheetFormatPr defaultColWidth="9.109375" defaultRowHeight="14.4" x14ac:dyDescent="0.3"/>
  <cols>
    <col min="1" max="1" width="41.6640625" style="93" customWidth="1"/>
    <col min="2" max="2" width="18" style="93" customWidth="1"/>
    <col min="3" max="3" width="33.5546875" style="93" customWidth="1"/>
    <col min="4" max="4" width="16.109375" style="93" customWidth="1"/>
    <col min="5" max="8" width="14.33203125" style="93" customWidth="1"/>
    <col min="9" max="9" width="14.44140625" style="93" customWidth="1"/>
    <col min="10" max="11" width="12.6640625" style="93" customWidth="1"/>
    <col min="12" max="14" width="12.6640625" style="93" hidden="1" customWidth="1"/>
    <col min="15" max="25" width="12.6640625" style="93" customWidth="1"/>
    <col min="26" max="16384" width="9.109375" style="93"/>
  </cols>
  <sheetData>
    <row r="1" spans="1:14" ht="29.25" customHeight="1" thickBot="1" x14ac:dyDescent="0.35">
      <c r="A1" s="78" t="s">
        <v>172</v>
      </c>
      <c r="B1" s="90"/>
      <c r="C1" s="90"/>
      <c r="D1" s="90"/>
      <c r="E1" s="79" t="s">
        <v>86</v>
      </c>
      <c r="F1" s="79"/>
      <c r="G1" s="79"/>
      <c r="H1" s="192"/>
    </row>
    <row r="2" spans="1:14" ht="15" thickBot="1" x14ac:dyDescent="0.35">
      <c r="A2" s="94"/>
      <c r="B2" s="95"/>
      <c r="C2" s="96"/>
      <c r="D2" s="96"/>
      <c r="E2" s="96"/>
      <c r="F2" s="96"/>
      <c r="G2" s="96"/>
      <c r="H2" s="96"/>
    </row>
    <row r="3" spans="1:14" ht="27.75" customHeight="1" thickBot="1" x14ac:dyDescent="0.35">
      <c r="A3" s="131" t="s">
        <v>43</v>
      </c>
      <c r="B3" s="144"/>
      <c r="C3" s="144"/>
      <c r="D3" s="100"/>
      <c r="E3" s="191">
        <f>'Pryse + Sensatiwiteitsanali'!B92</f>
        <v>3368</v>
      </c>
      <c r="F3" s="100" t="s">
        <v>44</v>
      </c>
      <c r="G3" s="102"/>
      <c r="H3" s="102"/>
    </row>
    <row r="4" spans="1:14" ht="15" thickBot="1" x14ac:dyDescent="0.35">
      <c r="A4" s="110"/>
      <c r="B4" s="237"/>
      <c r="C4" s="237"/>
      <c r="D4" s="106"/>
      <c r="E4" s="107"/>
      <c r="F4" s="108"/>
      <c r="G4" s="105"/>
      <c r="H4" s="109"/>
    </row>
    <row r="5" spans="1:14" ht="15" thickBot="1" x14ac:dyDescent="0.35">
      <c r="A5" s="110" t="s">
        <v>45</v>
      </c>
      <c r="B5" s="237"/>
      <c r="C5" s="237"/>
      <c r="D5" s="272">
        <v>2</v>
      </c>
      <c r="E5" s="272">
        <v>2.5</v>
      </c>
      <c r="F5" s="272">
        <v>3</v>
      </c>
      <c r="G5" s="272">
        <v>3.5</v>
      </c>
      <c r="H5" s="272">
        <v>4</v>
      </c>
    </row>
    <row r="6" spans="1:14" ht="15" thickBot="1" x14ac:dyDescent="0.35">
      <c r="A6" s="113" t="s">
        <v>46</v>
      </c>
      <c r="B6" s="241"/>
      <c r="C6" s="242"/>
      <c r="D6" s="172">
        <v>6724.48</v>
      </c>
      <c r="E6" s="172">
        <v>8405.5999999999985</v>
      </c>
      <c r="F6" s="172">
        <v>10086.719999999999</v>
      </c>
      <c r="G6" s="172">
        <v>11767.84</v>
      </c>
      <c r="H6" s="172">
        <v>13448.96</v>
      </c>
    </row>
    <row r="7" spans="1:14" ht="15" thickBot="1" x14ac:dyDescent="0.35">
      <c r="A7" s="141"/>
      <c r="B7" s="142"/>
      <c r="C7" s="142"/>
      <c r="D7" s="173"/>
      <c r="E7" s="173"/>
      <c r="F7" s="173"/>
      <c r="G7" s="173"/>
      <c r="H7" s="173"/>
      <c r="L7" s="80" t="s">
        <v>87</v>
      </c>
      <c r="M7" s="80"/>
      <c r="N7" s="80"/>
    </row>
    <row r="8" spans="1:14" ht="15" thickBot="1" x14ac:dyDescent="0.35">
      <c r="A8" s="121" t="s">
        <v>48</v>
      </c>
      <c r="B8" s="122"/>
      <c r="C8" s="123"/>
      <c r="D8" s="174"/>
      <c r="E8" s="174"/>
      <c r="F8" s="174"/>
      <c r="G8" s="174"/>
      <c r="H8" s="174"/>
      <c r="L8" s="81" t="s">
        <v>49</v>
      </c>
      <c r="M8" s="81" t="s">
        <v>50</v>
      </c>
      <c r="N8" s="81" t="s">
        <v>51</v>
      </c>
    </row>
    <row r="9" spans="1:14" x14ac:dyDescent="0.3">
      <c r="A9" s="125" t="s">
        <v>52</v>
      </c>
      <c r="B9" s="126"/>
      <c r="C9" s="126"/>
      <c r="D9" s="175">
        <v>603.12060000000008</v>
      </c>
      <c r="E9" s="175">
        <v>670.13400000000001</v>
      </c>
      <c r="F9" s="175">
        <v>737.14740000000006</v>
      </c>
      <c r="G9" s="175">
        <v>804.16080000000011</v>
      </c>
      <c r="H9" s="175">
        <v>938.18760000000009</v>
      </c>
      <c r="L9" s="82">
        <f>D5</f>
        <v>2</v>
      </c>
      <c r="M9" s="82">
        <f>D25</f>
        <v>8676.3673054007322</v>
      </c>
      <c r="N9" s="82">
        <f>D27</f>
        <v>6918.24</v>
      </c>
    </row>
    <row r="10" spans="1:14" x14ac:dyDescent="0.3">
      <c r="A10" s="128" t="s">
        <v>53</v>
      </c>
      <c r="B10" s="129"/>
      <c r="C10" s="129"/>
      <c r="D10" s="176">
        <v>2926.17</v>
      </c>
      <c r="E10" s="176">
        <v>3657.7125000000001</v>
      </c>
      <c r="F10" s="176">
        <v>4389.2550000000001</v>
      </c>
      <c r="G10" s="176">
        <v>5120.7974999999997</v>
      </c>
      <c r="H10" s="176">
        <v>5852.34</v>
      </c>
      <c r="L10" s="82">
        <f>E5</f>
        <v>2.5</v>
      </c>
      <c r="M10" s="82">
        <f>E25</f>
        <v>9457.6995910569822</v>
      </c>
      <c r="N10" s="82">
        <f>E27</f>
        <v>6918.24</v>
      </c>
    </row>
    <row r="11" spans="1:14" x14ac:dyDescent="0.3">
      <c r="A11" s="128" t="s">
        <v>54</v>
      </c>
      <c r="B11" s="129"/>
      <c r="C11" s="129"/>
      <c r="D11" s="176">
        <v>266.40000000000003</v>
      </c>
      <c r="E11" s="176">
        <v>266.40000000000003</v>
      </c>
      <c r="F11" s="176">
        <v>266.40000000000003</v>
      </c>
      <c r="G11" s="176">
        <v>266.40000000000003</v>
      </c>
      <c r="H11" s="176">
        <v>266.40000000000003</v>
      </c>
      <c r="L11" s="82">
        <f>F5</f>
        <v>3</v>
      </c>
      <c r="M11" s="82">
        <f>F25</f>
        <v>10574.818168713231</v>
      </c>
      <c r="N11" s="82">
        <f>F27</f>
        <v>6918.24</v>
      </c>
    </row>
    <row r="12" spans="1:14" x14ac:dyDescent="0.3">
      <c r="A12" s="128" t="s">
        <v>55</v>
      </c>
      <c r="B12" s="129"/>
      <c r="C12" s="129"/>
      <c r="D12" s="176">
        <v>1463.7585260000001</v>
      </c>
      <c r="E12" s="176">
        <v>1324.5441260000002</v>
      </c>
      <c r="F12" s="176">
        <v>1501.7361260000002</v>
      </c>
      <c r="G12" s="176">
        <v>1520.7249260000001</v>
      </c>
      <c r="H12" s="176">
        <v>1539.7137260000002</v>
      </c>
      <c r="L12" s="82">
        <f>G5</f>
        <v>3.5</v>
      </c>
      <c r="M12" s="82">
        <f>G25</f>
        <v>11524.043600369481</v>
      </c>
      <c r="N12" s="82">
        <f>G27</f>
        <v>6918.24</v>
      </c>
    </row>
    <row r="13" spans="1:14" x14ac:dyDescent="0.3">
      <c r="A13" s="128" t="s">
        <v>56</v>
      </c>
      <c r="B13" s="129"/>
      <c r="C13" s="129"/>
      <c r="D13" s="176">
        <v>1360.8687</v>
      </c>
      <c r="E13" s="176">
        <v>1366.2637</v>
      </c>
      <c r="F13" s="176">
        <v>1371.6587</v>
      </c>
      <c r="G13" s="176">
        <v>1377.0536999999999</v>
      </c>
      <c r="H13" s="176">
        <v>1382.4486999999999</v>
      </c>
      <c r="L13" s="82">
        <f>H5</f>
        <v>4</v>
      </c>
      <c r="M13" s="82">
        <f>H25</f>
        <v>12544.387002775735</v>
      </c>
      <c r="N13" s="82">
        <f>H27</f>
        <v>6918.24</v>
      </c>
    </row>
    <row r="14" spans="1:14" x14ac:dyDescent="0.3">
      <c r="A14" s="128" t="s">
        <v>57</v>
      </c>
      <c r="B14" s="129"/>
      <c r="C14" s="129"/>
      <c r="D14" s="176">
        <v>386.63839805251587</v>
      </c>
      <c r="E14" s="176">
        <v>386.63839805251587</v>
      </c>
      <c r="F14" s="176">
        <v>386.63839805251587</v>
      </c>
      <c r="G14" s="176">
        <v>386.63839805251587</v>
      </c>
      <c r="H14" s="176">
        <v>386.63839805251587</v>
      </c>
      <c r="L14" s="82" t="e">
        <f>#REF!</f>
        <v>#REF!</v>
      </c>
      <c r="M14" s="82" t="e">
        <f>#REF!</f>
        <v>#REF!</v>
      </c>
      <c r="N14" s="82" t="e">
        <f>#REF!</f>
        <v>#REF!</v>
      </c>
    </row>
    <row r="15" spans="1:14" x14ac:dyDescent="0.3">
      <c r="A15" s="128" t="s">
        <v>58</v>
      </c>
      <c r="B15" s="129"/>
      <c r="C15" s="129"/>
      <c r="D15" s="176">
        <v>582.65</v>
      </c>
      <c r="E15" s="176">
        <v>582.65</v>
      </c>
      <c r="F15" s="176">
        <v>582.65</v>
      </c>
      <c r="G15" s="176">
        <v>582.65</v>
      </c>
      <c r="H15" s="176">
        <v>582.65</v>
      </c>
    </row>
    <row r="16" spans="1:14" x14ac:dyDescent="0.3">
      <c r="A16" s="128" t="s">
        <v>59</v>
      </c>
      <c r="B16" s="129"/>
      <c r="C16" s="129"/>
      <c r="D16" s="176">
        <v>131.34186</v>
      </c>
      <c r="E16" s="176">
        <v>164.177325</v>
      </c>
      <c r="F16" s="176">
        <v>197.01278999999997</v>
      </c>
      <c r="G16" s="176">
        <v>229.84825499999999</v>
      </c>
      <c r="H16" s="176">
        <v>262.68371999999999</v>
      </c>
    </row>
    <row r="17" spans="1:9" x14ac:dyDescent="0.3">
      <c r="A17" s="128" t="s">
        <v>60</v>
      </c>
      <c r="B17" s="129"/>
      <c r="C17" s="129"/>
      <c r="D17" s="176"/>
      <c r="E17" s="176"/>
      <c r="F17" s="176"/>
      <c r="G17" s="176"/>
      <c r="H17" s="176"/>
    </row>
    <row r="18" spans="1:9" x14ac:dyDescent="0.3">
      <c r="A18" s="128" t="s">
        <v>61</v>
      </c>
      <c r="B18" s="129"/>
      <c r="C18" s="129"/>
      <c r="D18" s="176"/>
      <c r="E18" s="176"/>
      <c r="F18" s="176"/>
      <c r="G18" s="176"/>
      <c r="H18" s="176"/>
    </row>
    <row r="19" spans="1:9" x14ac:dyDescent="0.3">
      <c r="A19" s="128" t="s">
        <v>62</v>
      </c>
      <c r="B19" s="129"/>
      <c r="C19" s="129"/>
      <c r="D19" s="176">
        <v>154.66304</v>
      </c>
      <c r="E19" s="176">
        <v>193.32879999999997</v>
      </c>
      <c r="F19" s="176">
        <v>231.99455999999998</v>
      </c>
      <c r="G19" s="176">
        <v>270.66032000000001</v>
      </c>
      <c r="H19" s="176">
        <v>309.32607999999999</v>
      </c>
    </row>
    <row r="20" spans="1:9" x14ac:dyDescent="0.3">
      <c r="A20" s="128" t="s">
        <v>63</v>
      </c>
      <c r="B20" s="129"/>
      <c r="C20" s="129"/>
      <c r="D20" s="176"/>
      <c r="E20" s="176"/>
      <c r="F20" s="176"/>
      <c r="G20" s="176"/>
      <c r="H20" s="176"/>
    </row>
    <row r="21" spans="1:9" x14ac:dyDescent="0.3">
      <c r="A21" s="128" t="s">
        <v>64</v>
      </c>
      <c r="B21" s="129"/>
      <c r="C21" s="129"/>
      <c r="D21" s="176">
        <v>300</v>
      </c>
      <c r="E21" s="176">
        <v>300</v>
      </c>
      <c r="F21" s="176">
        <v>300</v>
      </c>
      <c r="G21" s="176">
        <v>300</v>
      </c>
      <c r="H21" s="176">
        <v>300</v>
      </c>
    </row>
    <row r="22" spans="1:9" x14ac:dyDescent="0.3">
      <c r="A22" s="128" t="s">
        <v>65</v>
      </c>
      <c r="B22" s="129"/>
      <c r="C22" s="129"/>
      <c r="D22" s="176"/>
      <c r="E22" s="176"/>
      <c r="F22" s="176"/>
      <c r="G22" s="176"/>
      <c r="H22" s="176"/>
    </row>
    <row r="23" spans="1:9" x14ac:dyDescent="0.3">
      <c r="A23" s="128" t="str">
        <f>Sonneblom!A23</f>
        <v>Oorlê land koste / overlay costs</v>
      </c>
      <c r="B23" s="129"/>
      <c r="C23" s="129"/>
      <c r="D23" s="176"/>
      <c r="E23" s="176"/>
      <c r="F23" s="176"/>
      <c r="G23" s="176"/>
      <c r="H23" s="176"/>
    </row>
    <row r="24" spans="1:9" ht="15" thickBot="1" x14ac:dyDescent="0.35">
      <c r="A24" s="128" t="s">
        <v>67</v>
      </c>
      <c r="B24" s="129"/>
      <c r="C24" s="129"/>
      <c r="D24" s="176">
        <v>500.75618134821661</v>
      </c>
      <c r="E24" s="176">
        <v>545.85074200446661</v>
      </c>
      <c r="F24" s="176">
        <v>610.32519466071653</v>
      </c>
      <c r="G24" s="176">
        <v>665.10970131696649</v>
      </c>
      <c r="H24" s="176">
        <v>723.99877872321633</v>
      </c>
    </row>
    <row r="25" spans="1:9" ht="15" thickBot="1" x14ac:dyDescent="0.35">
      <c r="A25" s="131" t="s">
        <v>68</v>
      </c>
      <c r="B25" s="132"/>
      <c r="C25" s="133"/>
      <c r="D25" s="177">
        <f>SUM(D9:D24)</f>
        <v>8676.3673054007322</v>
      </c>
      <c r="E25" s="177">
        <f>SUM(E9:E24)</f>
        <v>9457.6995910569822</v>
      </c>
      <c r="F25" s="177">
        <f>SUM(F9:F24)</f>
        <v>10574.818168713231</v>
      </c>
      <c r="G25" s="177">
        <f>SUM(G9:G24)</f>
        <v>11524.043600369481</v>
      </c>
      <c r="H25" s="177">
        <f>SUM(H9:H24)</f>
        <v>12544.387002775735</v>
      </c>
    </row>
    <row r="26" spans="1:9" ht="15" thickBot="1" x14ac:dyDescent="0.35">
      <c r="A26" s="135"/>
      <c r="B26" s="136"/>
      <c r="C26" s="136"/>
      <c r="D26" s="178"/>
      <c r="E26" s="178"/>
      <c r="F26" s="178"/>
      <c r="G26" s="178"/>
      <c r="H26" s="178"/>
    </row>
    <row r="27" spans="1:9" ht="15" thickBot="1" x14ac:dyDescent="0.35">
      <c r="A27" s="138" t="s">
        <v>69</v>
      </c>
      <c r="B27" s="139"/>
      <c r="C27" s="140"/>
      <c r="D27" s="179">
        <v>6918.24</v>
      </c>
      <c r="E27" s="180">
        <v>6918.24</v>
      </c>
      <c r="F27" s="180">
        <v>6918.24</v>
      </c>
      <c r="G27" s="180">
        <v>6918.24</v>
      </c>
      <c r="H27" s="180">
        <v>6918.24</v>
      </c>
      <c r="I27" s="194"/>
    </row>
    <row r="28" spans="1:9" ht="15" thickBot="1" x14ac:dyDescent="0.35">
      <c r="A28" s="135"/>
      <c r="B28" s="136"/>
      <c r="C28" s="136"/>
      <c r="D28" s="178"/>
      <c r="E28" s="178"/>
      <c r="F28" s="178"/>
      <c r="G28" s="178"/>
      <c r="H28" s="178"/>
    </row>
    <row r="29" spans="1:9" ht="15" thickBot="1" x14ac:dyDescent="0.35">
      <c r="A29" s="131" t="s">
        <v>70</v>
      </c>
      <c r="B29" s="132"/>
      <c r="C29" s="133"/>
      <c r="D29" s="177">
        <f>D25+D27</f>
        <v>15594.607305400732</v>
      </c>
      <c r="E29" s="177">
        <f t="shared" ref="E29:H29" si="0">E25+E27</f>
        <v>16375.939591056982</v>
      </c>
      <c r="F29" s="177">
        <f t="shared" si="0"/>
        <v>17493.058168713229</v>
      </c>
      <c r="G29" s="177">
        <f t="shared" si="0"/>
        <v>18442.283600369483</v>
      </c>
      <c r="H29" s="177">
        <f t="shared" si="0"/>
        <v>19462.627002775735</v>
      </c>
    </row>
    <row r="30" spans="1:9" ht="12" customHeight="1" thickBot="1" x14ac:dyDescent="0.35">
      <c r="A30" s="141"/>
      <c r="B30" s="142"/>
      <c r="C30" s="142"/>
      <c r="D30" s="181"/>
      <c r="E30" s="181"/>
      <c r="F30" s="181"/>
      <c r="G30" s="181"/>
      <c r="H30" s="181"/>
    </row>
    <row r="31" spans="1:9" ht="15" thickBot="1" x14ac:dyDescent="0.35">
      <c r="A31" s="131" t="s">
        <v>71</v>
      </c>
      <c r="B31" s="144"/>
      <c r="C31" s="145"/>
      <c r="D31" s="177">
        <f>D29/D5</f>
        <v>7797.303652700366</v>
      </c>
      <c r="E31" s="177">
        <f t="shared" ref="E31:H31" si="1">E29/E5</f>
        <v>6550.3758364227924</v>
      </c>
      <c r="F31" s="177">
        <f t="shared" si="1"/>
        <v>5831.0193895710763</v>
      </c>
      <c r="G31" s="177">
        <f t="shared" si="1"/>
        <v>5269.2238858198525</v>
      </c>
      <c r="H31" s="177">
        <f t="shared" si="1"/>
        <v>4865.6567506939336</v>
      </c>
    </row>
    <row r="32" spans="1:9" ht="15" thickBot="1" x14ac:dyDescent="0.35">
      <c r="A32" s="141"/>
      <c r="B32" s="142"/>
      <c r="C32" s="142"/>
      <c r="D32" s="181"/>
      <c r="E32" s="181"/>
      <c r="F32" s="181"/>
      <c r="G32" s="181"/>
      <c r="H32" s="181"/>
    </row>
    <row r="33" spans="1:9" ht="14.25" customHeight="1" thickBot="1" x14ac:dyDescent="0.35">
      <c r="A33" s="113" t="s">
        <v>72</v>
      </c>
      <c r="B33" s="241"/>
      <c r="C33" s="241"/>
      <c r="D33" s="177">
        <f>'Pryse + Sensatiwiteitsanali'!D7</f>
        <v>132</v>
      </c>
      <c r="E33" s="177">
        <f>$D$33</f>
        <v>132</v>
      </c>
      <c r="F33" s="177">
        <f>$D$33</f>
        <v>132</v>
      </c>
      <c r="G33" s="177">
        <f>$D$33</f>
        <v>132</v>
      </c>
      <c r="H33" s="177">
        <f>$D$33</f>
        <v>132</v>
      </c>
    </row>
    <row r="34" spans="1:9" ht="15" thickBot="1" x14ac:dyDescent="0.35">
      <c r="A34" s="141"/>
      <c r="B34" s="142"/>
      <c r="C34" s="142"/>
      <c r="D34" s="181"/>
      <c r="E34" s="181"/>
      <c r="F34" s="181"/>
      <c r="G34" s="181"/>
      <c r="H34" s="181"/>
    </row>
    <row r="35" spans="1:9" ht="15" thickBot="1" x14ac:dyDescent="0.35">
      <c r="A35" s="195" t="s">
        <v>73</v>
      </c>
      <c r="B35" s="273"/>
      <c r="C35" s="274"/>
      <c r="D35" s="275">
        <f>D31+D33</f>
        <v>7929.303652700366</v>
      </c>
      <c r="E35" s="275">
        <f>E31+E33</f>
        <v>6682.3758364227924</v>
      </c>
      <c r="F35" s="275">
        <f>F31+F33</f>
        <v>5963.0193895710763</v>
      </c>
      <c r="G35" s="275">
        <f>G31+G33</f>
        <v>5401.2238858198525</v>
      </c>
      <c r="H35" s="275">
        <f>H31+H33</f>
        <v>4997.6567506939336</v>
      </c>
    </row>
    <row r="36" spans="1:9" ht="15" thickBot="1" x14ac:dyDescent="0.35">
      <c r="A36" s="276" t="s">
        <v>74</v>
      </c>
      <c r="B36" s="277"/>
      <c r="C36" s="278"/>
      <c r="D36" s="275">
        <f>'Pryse + Sensatiwiteitsanali'!B7</f>
        <v>3500</v>
      </c>
      <c r="E36" s="275">
        <f>$D$36</f>
        <v>3500</v>
      </c>
      <c r="F36" s="275">
        <f>$D$36</f>
        <v>3500</v>
      </c>
      <c r="G36" s="275">
        <f>$D$36</f>
        <v>3500</v>
      </c>
      <c r="H36" s="275">
        <f>$D$36</f>
        <v>3500</v>
      </c>
    </row>
    <row r="37" spans="1:9" ht="15" thickBot="1" x14ac:dyDescent="0.35">
      <c r="D37" s="183"/>
      <c r="E37" s="183"/>
      <c r="F37" s="183"/>
      <c r="G37" s="183"/>
      <c r="H37" s="183"/>
    </row>
    <row r="38" spans="1:9" s="154" customFormat="1" x14ac:dyDescent="0.3">
      <c r="A38" s="83" t="s">
        <v>75</v>
      </c>
      <c r="B38" s="153"/>
      <c r="C38" s="153"/>
      <c r="D38" s="184">
        <f t="shared" ref="D38:H38" si="2">D6-D25</f>
        <v>-1951.8873054007327</v>
      </c>
      <c r="E38" s="185">
        <f t="shared" si="2"/>
        <v>-1052.0995910569836</v>
      </c>
      <c r="F38" s="184">
        <f t="shared" si="2"/>
        <v>-488.09816871323164</v>
      </c>
      <c r="G38" s="185">
        <f t="shared" si="2"/>
        <v>243.79639963051886</v>
      </c>
      <c r="H38" s="184">
        <f t="shared" si="2"/>
        <v>904.57299722426433</v>
      </c>
    </row>
    <row r="39" spans="1:9" s="154" customFormat="1" ht="15" thickBot="1" x14ac:dyDescent="0.35">
      <c r="A39" s="85" t="s">
        <v>76</v>
      </c>
      <c r="B39" s="155"/>
      <c r="C39" s="155"/>
      <c r="D39" s="187">
        <f t="shared" ref="D39:H39" si="3">D6-D29</f>
        <v>-8870.1273054007324</v>
      </c>
      <c r="E39" s="188">
        <f t="shared" si="3"/>
        <v>-7970.3395910569834</v>
      </c>
      <c r="F39" s="187">
        <f t="shared" si="3"/>
        <v>-7406.3381687132296</v>
      </c>
      <c r="G39" s="188">
        <f t="shared" si="3"/>
        <v>-6674.4436003694827</v>
      </c>
      <c r="H39" s="187">
        <f t="shared" si="3"/>
        <v>-6013.6670027757355</v>
      </c>
    </row>
    <row r="40" spans="1:9" x14ac:dyDescent="0.3">
      <c r="A40" s="87" t="s">
        <v>168</v>
      </c>
      <c r="B40" s="156"/>
      <c r="C40" s="156"/>
      <c r="D40" s="156"/>
      <c r="E40" s="156"/>
      <c r="F40" s="156"/>
      <c r="G40" s="156"/>
      <c r="H40" s="157"/>
      <c r="I40" s="158"/>
    </row>
    <row r="41" spans="1:9" x14ac:dyDescent="0.3">
      <c r="A41" s="88" t="s">
        <v>77</v>
      </c>
      <c r="B41" s="159"/>
      <c r="C41" s="159"/>
      <c r="D41" s="159"/>
      <c r="E41" s="159"/>
      <c r="F41" s="159"/>
      <c r="G41" s="159"/>
      <c r="H41" s="160"/>
      <c r="I41" s="158"/>
    </row>
    <row r="42" spans="1:9" ht="15" thickBot="1" x14ac:dyDescent="0.35">
      <c r="A42" s="89" t="s">
        <v>78</v>
      </c>
      <c r="B42" s="161"/>
      <c r="C42" s="161"/>
      <c r="D42" s="161"/>
      <c r="E42" s="161"/>
      <c r="F42" s="161"/>
      <c r="G42" s="161"/>
      <c r="H42" s="162"/>
      <c r="I42" s="158"/>
    </row>
    <row r="43" spans="1:9" x14ac:dyDescent="0.3">
      <c r="A43" s="163" t="s">
        <v>79</v>
      </c>
      <c r="B43" s="164"/>
      <c r="C43" s="164"/>
      <c r="D43" s="164"/>
      <c r="E43" s="164"/>
      <c r="F43" s="164"/>
      <c r="G43" s="164"/>
      <c r="H43" s="165"/>
    </row>
    <row r="44" spans="1:9" x14ac:dyDescent="0.3">
      <c r="A44" s="166"/>
      <c r="B44" s="167"/>
      <c r="C44" s="167"/>
      <c r="D44" s="167"/>
      <c r="E44" s="167"/>
      <c r="F44" s="167"/>
      <c r="G44" s="167"/>
      <c r="H44" s="168"/>
    </row>
    <row r="45" spans="1:9" x14ac:dyDescent="0.3">
      <c r="A45" s="166"/>
      <c r="B45" s="167"/>
      <c r="C45" s="167"/>
      <c r="D45" s="167"/>
      <c r="E45" s="167"/>
      <c r="F45" s="167"/>
      <c r="G45" s="167"/>
      <c r="H45" s="168"/>
    </row>
    <row r="46" spans="1:9" ht="15" thickBot="1" x14ac:dyDescent="0.35">
      <c r="A46" s="169"/>
      <c r="B46" s="170"/>
      <c r="C46" s="170"/>
      <c r="D46" s="170"/>
      <c r="E46" s="170"/>
      <c r="F46" s="170"/>
      <c r="G46" s="170"/>
      <c r="H46" s="171"/>
    </row>
  </sheetData>
  <mergeCells count="13">
    <mergeCell ref="A43:H46"/>
    <mergeCell ref="A38:C38"/>
    <mergeCell ref="A39:C39"/>
    <mergeCell ref="L7:N7"/>
    <mergeCell ref="A1:D1"/>
    <mergeCell ref="E1:G1"/>
    <mergeCell ref="A31:C31"/>
    <mergeCell ref="A35:C35"/>
    <mergeCell ref="A3:C3"/>
    <mergeCell ref="A8:C8"/>
    <mergeCell ref="A25:C25"/>
    <mergeCell ref="A27:C27"/>
    <mergeCell ref="A29:C29"/>
  </mergeCells>
  <phoneticPr fontId="0" type="noConversion"/>
  <conditionalFormatting sqref="D38:H39">
    <cfRule type="colorScale" priority="74">
      <colorScale>
        <cfvo type="min"/>
        <cfvo type="percentile" val="50"/>
        <cfvo type="max"/>
        <color rgb="FFF8696B"/>
        <color rgb="FFFFEB84"/>
        <color rgb="FF63BE7B"/>
      </colorScale>
    </cfRule>
    <cfRule type="colorScale" priority="75">
      <colorScale>
        <cfvo type="min"/>
        <cfvo type="percentile" val="50"/>
        <cfvo type="max"/>
        <color rgb="FFF8696B"/>
        <color rgb="FFFFEB84"/>
        <color rgb="FF63BE7B"/>
      </colorScale>
    </cfRule>
    <cfRule type="colorScale" priority="76">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65" fitToHeight="0" orientation="portrait" verticalDpi="300" r:id="rId1"/>
  <headerFooter alignWithMargins="0">
    <oddHeader>&amp;F</oddHeader>
    <oddFooter>&amp;A&amp;RPage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54"/>
  <sheetViews>
    <sheetView zoomScale="70" zoomScaleNormal="70" workbookViewId="0">
      <selection activeCell="E18" sqref="E18"/>
    </sheetView>
  </sheetViews>
  <sheetFormatPr defaultColWidth="9.109375" defaultRowHeight="14.4" x14ac:dyDescent="0.3"/>
  <cols>
    <col min="1" max="1" width="41.6640625" style="93" customWidth="1"/>
    <col min="2" max="2" width="18" style="93" customWidth="1"/>
    <col min="3" max="3" width="29.109375" style="93" customWidth="1"/>
    <col min="4" max="4" width="21.33203125" style="271" bestFit="1" customWidth="1"/>
    <col min="5" max="5" width="45.6640625" style="93" customWidth="1"/>
    <col min="6" max="6" width="14.44140625" style="219" customWidth="1"/>
    <col min="7" max="10" width="12.6640625" style="219" customWidth="1"/>
    <col min="11" max="22" width="12.6640625" style="93" customWidth="1"/>
    <col min="23" max="16384" width="9.109375" style="93"/>
  </cols>
  <sheetData>
    <row r="1" spans="1:10" ht="30.75" customHeight="1" thickBot="1" x14ac:dyDescent="0.35">
      <c r="A1" s="211" t="s">
        <v>171</v>
      </c>
      <c r="B1" s="90"/>
      <c r="C1" s="90"/>
      <c r="D1" s="90"/>
      <c r="E1" s="212" t="s">
        <v>88</v>
      </c>
    </row>
    <row r="2" spans="1:10" ht="15" thickBot="1" x14ac:dyDescent="0.35">
      <c r="A2" s="94"/>
      <c r="B2" s="95"/>
      <c r="C2" s="96"/>
      <c r="D2" s="220"/>
      <c r="E2" s="96"/>
    </row>
    <row r="3" spans="1:10" s="225" customFormat="1" ht="29.4" thickBot="1" x14ac:dyDescent="0.35">
      <c r="A3" s="221" t="s">
        <v>89</v>
      </c>
      <c r="B3" s="222"/>
      <c r="C3" s="222"/>
      <c r="D3" s="223" t="s">
        <v>90</v>
      </c>
      <c r="E3" s="296" t="s">
        <v>91</v>
      </c>
      <c r="F3" s="224"/>
      <c r="G3" s="224"/>
      <c r="H3" s="224"/>
      <c r="I3" s="224"/>
      <c r="J3" s="224"/>
    </row>
    <row r="4" spans="1:10" s="225" customFormat="1" x14ac:dyDescent="0.3">
      <c r="A4" s="226" t="s">
        <v>92</v>
      </c>
      <c r="B4" s="227"/>
      <c r="C4" s="227"/>
      <c r="D4" s="228">
        <f>'Pryse + Sensatiwiteitsanali'!B8</f>
        <v>21767</v>
      </c>
      <c r="E4" s="229">
        <v>0.2</v>
      </c>
      <c r="F4" s="224"/>
      <c r="G4" s="224"/>
      <c r="H4" s="224"/>
      <c r="I4" s="224"/>
      <c r="J4" s="224"/>
    </row>
    <row r="5" spans="1:10" s="225" customFormat="1" x14ac:dyDescent="0.3">
      <c r="A5" s="226" t="s">
        <v>93</v>
      </c>
      <c r="B5" s="227"/>
      <c r="C5" s="227"/>
      <c r="D5" s="228">
        <f>'Pryse + Sensatiwiteitsanali'!B9</f>
        <v>18150</v>
      </c>
      <c r="E5" s="229">
        <v>0.35</v>
      </c>
      <c r="F5" s="224"/>
      <c r="G5" s="224"/>
      <c r="H5" s="224"/>
      <c r="I5" s="224"/>
      <c r="J5" s="224"/>
    </row>
    <row r="6" spans="1:10" s="225" customFormat="1" x14ac:dyDescent="0.3">
      <c r="A6" s="230" t="s">
        <v>94</v>
      </c>
      <c r="B6" s="227"/>
      <c r="C6" s="227"/>
      <c r="D6" s="228">
        <f>'Pryse + Sensatiwiteitsanali'!B10</f>
        <v>16083</v>
      </c>
      <c r="E6" s="229">
        <v>0.3</v>
      </c>
      <c r="F6" s="224"/>
      <c r="G6" s="224"/>
      <c r="H6" s="224"/>
      <c r="I6" s="224"/>
      <c r="J6" s="224"/>
    </row>
    <row r="7" spans="1:10" s="225" customFormat="1" x14ac:dyDescent="0.3">
      <c r="A7" s="230" t="s">
        <v>95</v>
      </c>
      <c r="B7" s="227"/>
      <c r="C7" s="227"/>
      <c r="D7" s="228">
        <f>'Pryse + Sensatiwiteitsanali'!B11</f>
        <v>5467</v>
      </c>
      <c r="E7" s="229">
        <v>0.1</v>
      </c>
      <c r="F7" s="224"/>
      <c r="G7" s="224"/>
      <c r="H7" s="224"/>
      <c r="I7" s="224"/>
      <c r="J7" s="224"/>
    </row>
    <row r="8" spans="1:10" s="225" customFormat="1" x14ac:dyDescent="0.3">
      <c r="A8" s="230" t="s">
        <v>96</v>
      </c>
      <c r="B8" s="227"/>
      <c r="C8" s="227"/>
      <c r="D8" s="228">
        <f>'Pryse + Sensatiwiteitsanali'!B12</f>
        <v>3517</v>
      </c>
      <c r="E8" s="229">
        <v>0.05</v>
      </c>
      <c r="F8" s="224"/>
      <c r="G8" s="224"/>
      <c r="H8" s="224"/>
      <c r="I8" s="224"/>
      <c r="J8" s="224"/>
    </row>
    <row r="9" spans="1:10" s="225" customFormat="1" ht="15" thickBot="1" x14ac:dyDescent="0.35">
      <c r="A9" s="231" t="s">
        <v>97</v>
      </c>
      <c r="B9" s="232"/>
      <c r="C9" s="232"/>
      <c r="D9" s="228">
        <f>'Pryse + Sensatiwiteitsanali'!B13</f>
        <v>0</v>
      </c>
      <c r="E9" s="233"/>
      <c r="F9" s="224"/>
      <c r="G9" s="224"/>
      <c r="H9" s="224"/>
      <c r="I9" s="224"/>
      <c r="J9" s="224"/>
    </row>
    <row r="10" spans="1:10" s="225" customFormat="1" ht="15" thickBot="1" x14ac:dyDescent="0.35">
      <c r="A10" s="98" t="s">
        <v>98</v>
      </c>
      <c r="B10" s="234"/>
      <c r="C10" s="234"/>
      <c r="D10" s="235">
        <f>(D4*E4)+(D5*E5)+(D6*E6)+(D7*E7)+(D8*E8)</f>
        <v>16253.350000000002</v>
      </c>
      <c r="E10" s="236" t="s">
        <v>44</v>
      </c>
      <c r="F10" s="224"/>
      <c r="G10" s="224"/>
      <c r="H10" s="224"/>
      <c r="I10" s="224"/>
      <c r="J10" s="224"/>
    </row>
    <row r="11" spans="1:10" ht="15" thickBot="1" x14ac:dyDescent="0.35">
      <c r="A11" s="110"/>
      <c r="B11" s="237"/>
      <c r="C11" s="237"/>
      <c r="D11" s="238"/>
      <c r="E11" s="239"/>
    </row>
    <row r="12" spans="1:10" ht="15" thickBot="1" x14ac:dyDescent="0.35">
      <c r="A12" s="110" t="s">
        <v>45</v>
      </c>
      <c r="B12" s="237"/>
      <c r="C12" s="237"/>
      <c r="D12" s="295">
        <v>1.5</v>
      </c>
      <c r="E12" s="111">
        <v>0</v>
      </c>
    </row>
    <row r="13" spans="1:10" ht="15" thickBot="1" x14ac:dyDescent="0.35">
      <c r="A13" s="113" t="s">
        <v>46</v>
      </c>
      <c r="B13" s="241"/>
      <c r="C13" s="242"/>
      <c r="D13" s="243">
        <v>26278.949999999997</v>
      </c>
      <c r="E13" s="116">
        <v>0</v>
      </c>
    </row>
    <row r="14" spans="1:10" ht="15" thickBot="1" x14ac:dyDescent="0.35">
      <c r="A14" s="141"/>
      <c r="B14" s="142"/>
      <c r="C14" s="142"/>
      <c r="D14" s="240"/>
      <c r="E14" s="120"/>
    </row>
    <row r="15" spans="1:10" ht="15" thickBot="1" x14ac:dyDescent="0.35">
      <c r="A15" s="244" t="s">
        <v>48</v>
      </c>
      <c r="B15" s="245"/>
      <c r="C15" s="246"/>
      <c r="D15" s="247"/>
      <c r="E15" s="124"/>
    </row>
    <row r="16" spans="1:10" x14ac:dyDescent="0.3">
      <c r="A16" s="125" t="s">
        <v>52</v>
      </c>
      <c r="B16" s="126"/>
      <c r="C16" s="126"/>
      <c r="D16" s="248">
        <v>900</v>
      </c>
      <c r="E16" s="249"/>
    </row>
    <row r="17" spans="1:5" x14ac:dyDescent="0.3">
      <c r="A17" s="128" t="s">
        <v>53</v>
      </c>
      <c r="B17" s="129"/>
      <c r="C17" s="129"/>
      <c r="D17" s="250">
        <v>2404.6999999999998</v>
      </c>
      <c r="E17" s="251"/>
    </row>
    <row r="18" spans="1:5" x14ac:dyDescent="0.3">
      <c r="A18" s="128" t="s">
        <v>54</v>
      </c>
      <c r="B18" s="129"/>
      <c r="C18" s="129"/>
      <c r="D18" s="250">
        <v>800</v>
      </c>
      <c r="E18" s="251"/>
    </row>
    <row r="19" spans="1:5" x14ac:dyDescent="0.3">
      <c r="A19" s="128" t="s">
        <v>55</v>
      </c>
      <c r="B19" s="129"/>
      <c r="C19" s="129"/>
      <c r="D19" s="250">
        <v>1696.6151580000001</v>
      </c>
      <c r="E19" s="251"/>
    </row>
    <row r="20" spans="1:5" x14ac:dyDescent="0.3">
      <c r="A20" s="128" t="s">
        <v>56</v>
      </c>
      <c r="B20" s="129"/>
      <c r="C20" s="129"/>
      <c r="D20" s="250">
        <v>1775.4466576032387</v>
      </c>
      <c r="E20" s="251"/>
    </row>
    <row r="21" spans="1:5" x14ac:dyDescent="0.3">
      <c r="A21" s="128" t="s">
        <v>57</v>
      </c>
      <c r="B21" s="129"/>
      <c r="C21" s="129"/>
      <c r="D21" s="250">
        <v>1166.1857299235842</v>
      </c>
      <c r="E21" s="251"/>
    </row>
    <row r="22" spans="1:5" x14ac:dyDescent="0.3">
      <c r="A22" s="128" t="s">
        <v>58</v>
      </c>
      <c r="B22" s="129"/>
      <c r="C22" s="129"/>
      <c r="D22" s="250">
        <v>1096.2973853351521</v>
      </c>
      <c r="E22" s="251"/>
    </row>
    <row r="23" spans="1:5" x14ac:dyDescent="0.3">
      <c r="A23" s="128" t="s">
        <v>59</v>
      </c>
      <c r="B23" s="129"/>
      <c r="C23" s="129"/>
      <c r="D23" s="250"/>
      <c r="E23" s="251"/>
    </row>
    <row r="24" spans="1:5" x14ac:dyDescent="0.3">
      <c r="A24" s="128" t="s">
        <v>60</v>
      </c>
      <c r="B24" s="129"/>
      <c r="C24" s="129"/>
      <c r="D24" s="250"/>
      <c r="E24" s="251"/>
    </row>
    <row r="25" spans="1:5" x14ac:dyDescent="0.3">
      <c r="A25" s="128" t="s">
        <v>61</v>
      </c>
      <c r="B25" s="129"/>
      <c r="C25" s="129"/>
      <c r="D25" s="250"/>
      <c r="E25" s="251"/>
    </row>
    <row r="26" spans="1:5" x14ac:dyDescent="0.3">
      <c r="A26" s="128" t="s">
        <v>62</v>
      </c>
      <c r="B26" s="129"/>
      <c r="C26" s="129"/>
      <c r="D26" s="250"/>
      <c r="E26" s="251"/>
    </row>
    <row r="27" spans="1:5" x14ac:dyDescent="0.3">
      <c r="A27" s="128" t="s">
        <v>63</v>
      </c>
      <c r="B27" s="129"/>
      <c r="C27" s="129"/>
      <c r="D27" s="250"/>
      <c r="E27" s="251"/>
    </row>
    <row r="28" spans="1:5" x14ac:dyDescent="0.3">
      <c r="A28" s="128" t="s">
        <v>64</v>
      </c>
      <c r="B28" s="129"/>
      <c r="C28" s="129"/>
      <c r="D28" s="250">
        <v>300</v>
      </c>
      <c r="E28" s="251"/>
    </row>
    <row r="29" spans="1:5" x14ac:dyDescent="0.3">
      <c r="A29" s="128" t="s">
        <v>65</v>
      </c>
      <c r="B29" s="129"/>
      <c r="C29" s="129"/>
      <c r="D29" s="250"/>
      <c r="E29" s="251"/>
    </row>
    <row r="30" spans="1:5" x14ac:dyDescent="0.3">
      <c r="A30" s="128" t="str">
        <f>Graansorghum!A23</f>
        <v>Oorlê land koste / overlay costs</v>
      </c>
      <c r="B30" s="129"/>
      <c r="C30" s="129"/>
      <c r="D30" s="250">
        <v>350</v>
      </c>
      <c r="E30" s="251"/>
    </row>
    <row r="31" spans="1:5" ht="15" thickBot="1" x14ac:dyDescent="0.35">
      <c r="A31" s="128" t="s">
        <v>67</v>
      </c>
      <c r="B31" s="129"/>
      <c r="C31" s="129"/>
      <c r="D31" s="250">
        <v>621.02875201529594</v>
      </c>
      <c r="E31" s="251"/>
    </row>
    <row r="32" spans="1:5" ht="15" thickBot="1" x14ac:dyDescent="0.35">
      <c r="A32" s="131" t="s">
        <v>68</v>
      </c>
      <c r="B32" s="132"/>
      <c r="C32" s="133"/>
      <c r="D32" s="243">
        <f>SUM(D16:D31)</f>
        <v>11110.27368287727</v>
      </c>
      <c r="E32" s="252"/>
    </row>
    <row r="33" spans="1:10" ht="15" thickBot="1" x14ac:dyDescent="0.35">
      <c r="A33" s="135"/>
      <c r="B33" s="136"/>
      <c r="C33" s="136"/>
      <c r="D33" s="253"/>
      <c r="E33" s="137"/>
    </row>
    <row r="34" spans="1:10" ht="13.5" customHeight="1" thickBot="1" x14ac:dyDescent="0.35">
      <c r="A34" s="138" t="s">
        <v>69</v>
      </c>
      <c r="B34" s="139"/>
      <c r="C34" s="140"/>
      <c r="D34" s="254">
        <v>7880.47</v>
      </c>
      <c r="E34" s="134">
        <v>0</v>
      </c>
      <c r="F34" s="255"/>
    </row>
    <row r="35" spans="1:10" ht="15" thickBot="1" x14ac:dyDescent="0.35">
      <c r="A35" s="135"/>
      <c r="B35" s="136"/>
      <c r="C35" s="136"/>
      <c r="D35" s="253"/>
      <c r="E35" s="137"/>
    </row>
    <row r="36" spans="1:10" ht="15" thickBot="1" x14ac:dyDescent="0.35">
      <c r="A36" s="131" t="s">
        <v>70</v>
      </c>
      <c r="B36" s="132"/>
      <c r="C36" s="133"/>
      <c r="D36" s="243">
        <f>D32+D34</f>
        <v>18990.74368287727</v>
      </c>
      <c r="E36" s="134">
        <v>0</v>
      </c>
    </row>
    <row r="37" spans="1:10" ht="15" thickBot="1" x14ac:dyDescent="0.35">
      <c r="A37" s="141"/>
      <c r="B37" s="142"/>
      <c r="C37" s="142"/>
      <c r="D37" s="256"/>
      <c r="E37" s="143"/>
    </row>
    <row r="38" spans="1:10" ht="15" thickBot="1" x14ac:dyDescent="0.35">
      <c r="A38" s="131" t="s">
        <v>71</v>
      </c>
      <c r="B38" s="132"/>
      <c r="C38" s="133"/>
      <c r="D38" s="243">
        <f>D36/D12</f>
        <v>12660.495788584847</v>
      </c>
      <c r="E38" s="134">
        <v>0</v>
      </c>
    </row>
    <row r="39" spans="1:10" ht="15" thickBot="1" x14ac:dyDescent="0.35">
      <c r="A39" s="141"/>
      <c r="B39" s="142"/>
      <c r="C39" s="142"/>
      <c r="D39" s="256"/>
      <c r="E39" s="143"/>
    </row>
    <row r="40" spans="1:10" ht="15" thickBot="1" x14ac:dyDescent="0.35">
      <c r="A40" s="113" t="s">
        <v>72</v>
      </c>
      <c r="B40" s="241"/>
      <c r="C40" s="241"/>
      <c r="D40" s="243">
        <v>63</v>
      </c>
      <c r="E40" s="134">
        <v>0</v>
      </c>
    </row>
    <row r="41" spans="1:10" ht="15" thickBot="1" x14ac:dyDescent="0.35">
      <c r="A41" s="141"/>
      <c r="B41" s="142"/>
      <c r="C41" s="142"/>
      <c r="D41" s="256"/>
      <c r="E41" s="143"/>
    </row>
    <row r="42" spans="1:10" ht="15" thickBot="1" x14ac:dyDescent="0.35">
      <c r="A42" s="78" t="s">
        <v>99</v>
      </c>
      <c r="B42" s="257"/>
      <c r="C42" s="258"/>
      <c r="D42" s="259">
        <f>D38+D40</f>
        <v>12723.495788584847</v>
      </c>
      <c r="E42" s="150">
        <v>0</v>
      </c>
    </row>
    <row r="43" spans="1:10" ht="15" thickBot="1" x14ac:dyDescent="0.35">
      <c r="A43" s="260" t="s">
        <v>100</v>
      </c>
      <c r="B43" s="261"/>
      <c r="C43" s="262"/>
      <c r="D43" s="259">
        <f>'Pryse + Sensatiwiteitsanali'!B8</f>
        <v>21767</v>
      </c>
      <c r="E43" s="150">
        <v>0</v>
      </c>
    </row>
    <row r="44" spans="1:10" ht="15" thickBot="1" x14ac:dyDescent="0.35">
      <c r="A44" s="260" t="s">
        <v>101</v>
      </c>
      <c r="B44" s="261"/>
      <c r="C44" s="262"/>
      <c r="D44" s="259">
        <f>D10</f>
        <v>16253.350000000002</v>
      </c>
      <c r="E44" s="150"/>
    </row>
    <row r="45" spans="1:10" ht="15" thickBot="1" x14ac:dyDescent="0.35">
      <c r="D45" s="263"/>
      <c r="E45" s="264"/>
    </row>
    <row r="46" spans="1:10" s="154" customFormat="1" x14ac:dyDescent="0.3">
      <c r="A46" s="83" t="s">
        <v>75</v>
      </c>
      <c r="B46" s="213"/>
      <c r="C46" s="214"/>
      <c r="D46" s="215">
        <f>D13-D32</f>
        <v>15168.676317122727</v>
      </c>
      <c r="E46" s="84"/>
      <c r="F46" s="265"/>
      <c r="G46" s="265"/>
      <c r="H46" s="265"/>
      <c r="I46" s="265"/>
      <c r="J46" s="265"/>
    </row>
    <row r="47" spans="1:10" s="154" customFormat="1" ht="15" thickBot="1" x14ac:dyDescent="0.35">
      <c r="A47" s="85" t="s">
        <v>76</v>
      </c>
      <c r="B47" s="216"/>
      <c r="C47" s="217"/>
      <c r="D47" s="218">
        <f>D13-D36</f>
        <v>7288.2063171227273</v>
      </c>
      <c r="E47" s="86"/>
      <c r="F47" s="265"/>
      <c r="G47" s="265"/>
      <c r="H47" s="265"/>
      <c r="I47" s="265"/>
      <c r="J47" s="265"/>
    </row>
    <row r="48" spans="1:10" x14ac:dyDescent="0.3">
      <c r="A48" s="87" t="s">
        <v>168</v>
      </c>
      <c r="B48" s="156"/>
      <c r="C48" s="156"/>
      <c r="D48" s="266"/>
      <c r="E48" s="157"/>
      <c r="F48" s="267"/>
    </row>
    <row r="49" spans="1:8" x14ac:dyDescent="0.3">
      <c r="A49" s="88" t="s">
        <v>77</v>
      </c>
      <c r="B49" s="268"/>
      <c r="C49" s="268"/>
      <c r="D49" s="269"/>
      <c r="E49" s="160"/>
      <c r="F49" s="267"/>
    </row>
    <row r="50" spans="1:8" ht="15" thickBot="1" x14ac:dyDescent="0.35">
      <c r="A50" s="89" t="s">
        <v>78</v>
      </c>
      <c r="B50" s="161"/>
      <c r="C50" s="161"/>
      <c r="D50" s="270"/>
      <c r="E50" s="162"/>
      <c r="F50" s="267"/>
    </row>
    <row r="51" spans="1:8" ht="13.2" customHeight="1" x14ac:dyDescent="0.3">
      <c r="A51" s="202" t="s">
        <v>79</v>
      </c>
      <c r="B51" s="203"/>
      <c r="C51" s="203"/>
      <c r="D51" s="203"/>
      <c r="E51" s="208"/>
      <c r="F51" s="207"/>
      <c r="G51" s="207"/>
      <c r="H51" s="207"/>
    </row>
    <row r="52" spans="1:8" ht="13.2" customHeight="1" x14ac:dyDescent="0.3">
      <c r="A52" s="204"/>
      <c r="B52" s="201"/>
      <c r="C52" s="201"/>
      <c r="D52" s="201"/>
      <c r="E52" s="209"/>
      <c r="F52" s="207"/>
      <c r="G52" s="207"/>
      <c r="H52" s="207"/>
    </row>
    <row r="53" spans="1:8" ht="13.2" customHeight="1" x14ac:dyDescent="0.3">
      <c r="A53" s="204"/>
      <c r="B53" s="201"/>
      <c r="C53" s="201"/>
      <c r="D53" s="201"/>
      <c r="E53" s="209"/>
      <c r="F53" s="207"/>
      <c r="G53" s="207"/>
      <c r="H53" s="207"/>
    </row>
    <row r="54" spans="1:8" ht="13.8" customHeight="1" thickBot="1" x14ac:dyDescent="0.35">
      <c r="A54" s="205"/>
      <c r="B54" s="206"/>
      <c r="C54" s="206"/>
      <c r="D54" s="206"/>
      <c r="E54" s="210"/>
      <c r="F54" s="207"/>
      <c r="G54" s="207"/>
      <c r="H54" s="207"/>
    </row>
  </sheetData>
  <mergeCells count="11">
    <mergeCell ref="A51:E54"/>
    <mergeCell ref="A46:C46"/>
    <mergeCell ref="A47:C47"/>
    <mergeCell ref="A1:D1"/>
    <mergeCell ref="A38:C38"/>
    <mergeCell ref="A42:C42"/>
    <mergeCell ref="A15:C15"/>
    <mergeCell ref="A32:C32"/>
    <mergeCell ref="A34:C34"/>
    <mergeCell ref="A36:C36"/>
    <mergeCell ref="A10:C10"/>
  </mergeCells>
  <conditionalFormatting sqref="D46:E47">
    <cfRule type="colorScale" priority="71">
      <colorScale>
        <cfvo type="min"/>
        <cfvo type="percentile" val="50"/>
        <cfvo type="max"/>
        <color rgb="FFF8696B"/>
        <color rgb="FFFFEB84"/>
        <color rgb="FF63BE7B"/>
      </colorScale>
    </cfRule>
    <cfRule type="colorScale" priority="72">
      <colorScale>
        <cfvo type="min"/>
        <cfvo type="percentile" val="50"/>
        <cfvo type="max"/>
        <color rgb="FFF8696B"/>
        <color rgb="FFFFEB84"/>
        <color rgb="FF63BE7B"/>
      </colorScale>
    </cfRule>
    <cfRule type="colorScale" priority="73">
      <colorScale>
        <cfvo type="min"/>
        <cfvo type="percentile" val="50"/>
        <cfvo type="max"/>
        <color rgb="FFF8696B"/>
        <color rgb="FFFFEB84"/>
        <color rgb="FF63BE7B"/>
      </colorScale>
    </cfRule>
  </conditionalFormatting>
  <pageMargins left="0.31496062992125984" right="0.31496062992125984" top="0.55118110236220474" bottom="0.55118110236220474" header="0.31496062992125984" footer="0.31496062992125984"/>
  <pageSetup paperSize="9" scale="63" fitToHeight="0" orientation="portrait" r:id="rId1"/>
  <headerFooter>
    <oddHeader>&amp;F</oddHeader>
    <oddFooter>&amp;A&amp;RPage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46"/>
  <sheetViews>
    <sheetView zoomScale="70" zoomScaleNormal="70" workbookViewId="0">
      <selection activeCell="B4" sqref="B4"/>
    </sheetView>
  </sheetViews>
  <sheetFormatPr defaultColWidth="9.109375" defaultRowHeight="14.4" x14ac:dyDescent="0.3"/>
  <cols>
    <col min="1" max="1" width="41.6640625" style="93" customWidth="1"/>
    <col min="2" max="2" width="18" style="93" customWidth="1"/>
    <col min="3" max="3" width="38.21875" style="93" customWidth="1"/>
    <col min="4" max="4" width="16.109375" style="93" customWidth="1"/>
    <col min="5" max="8" width="14.33203125" style="93" customWidth="1"/>
    <col min="9" max="9" width="14.44140625" style="93" customWidth="1"/>
    <col min="10" max="11" width="12.6640625" style="93" customWidth="1"/>
    <col min="12" max="14" width="12.6640625" style="93" hidden="1" customWidth="1"/>
    <col min="15" max="25" width="12.6640625" style="93" customWidth="1"/>
    <col min="26" max="16384" width="9.109375" style="93"/>
  </cols>
  <sheetData>
    <row r="1" spans="1:14" s="93" customFormat="1" ht="31.5" customHeight="1" thickBot="1" x14ac:dyDescent="0.35">
      <c r="A1" s="78" t="s">
        <v>102</v>
      </c>
      <c r="B1" s="90"/>
      <c r="C1" s="90"/>
      <c r="D1" s="90"/>
      <c r="E1" s="79" t="s">
        <v>42</v>
      </c>
      <c r="F1" s="79"/>
      <c r="G1" s="79"/>
      <c r="H1" s="91"/>
    </row>
    <row r="2" spans="1:14" s="93" customFormat="1" ht="15" thickBot="1" x14ac:dyDescent="0.35">
      <c r="A2" s="94"/>
      <c r="B2" s="95"/>
      <c r="C2" s="96"/>
      <c r="D2" s="96"/>
      <c r="E2" s="96"/>
      <c r="F2" s="96"/>
      <c r="G2" s="96"/>
      <c r="H2" s="96"/>
    </row>
    <row r="3" spans="1:14" s="93" customFormat="1" ht="26.25" customHeight="1" thickBot="1" x14ac:dyDescent="0.35">
      <c r="A3" s="131" t="s">
        <v>43</v>
      </c>
      <c r="B3" s="144"/>
      <c r="C3" s="144"/>
      <c r="D3" s="100"/>
      <c r="E3" s="191">
        <f>'Pryse + Sensatiwiteitsanali'!B79</f>
        <v>7690.51</v>
      </c>
      <c r="F3" s="100" t="s">
        <v>44</v>
      </c>
      <c r="G3" s="102"/>
      <c r="H3" s="102"/>
    </row>
    <row r="4" spans="1:14" s="93" customFormat="1" ht="15" thickBot="1" x14ac:dyDescent="0.35">
      <c r="A4" s="110"/>
      <c r="B4" s="237"/>
      <c r="C4" s="237"/>
      <c r="D4" s="106"/>
      <c r="E4" s="107"/>
      <c r="F4" s="108"/>
      <c r="G4" s="105"/>
      <c r="H4" s="109"/>
    </row>
    <row r="5" spans="1:14" s="93" customFormat="1" ht="15" thickBot="1" x14ac:dyDescent="0.35">
      <c r="A5" s="110" t="s">
        <v>45</v>
      </c>
      <c r="B5" s="237"/>
      <c r="C5" s="237"/>
      <c r="D5" s="445">
        <v>1.25</v>
      </c>
      <c r="E5" s="445">
        <v>1.5</v>
      </c>
      <c r="F5" s="445">
        <v>1.75</v>
      </c>
      <c r="G5" s="445">
        <v>2</v>
      </c>
      <c r="H5" s="445">
        <v>2.25</v>
      </c>
    </row>
    <row r="6" spans="1:14" s="93" customFormat="1" ht="15" thickBot="1" x14ac:dyDescent="0.35">
      <c r="A6" s="113" t="s">
        <v>46</v>
      </c>
      <c r="B6" s="241"/>
      <c r="C6" s="242"/>
      <c r="D6" s="446">
        <v>9613.1375000000007</v>
      </c>
      <c r="E6" s="446">
        <v>11535.764999999999</v>
      </c>
      <c r="F6" s="446">
        <v>13458.3925</v>
      </c>
      <c r="G6" s="446">
        <v>15381.02</v>
      </c>
      <c r="H6" s="446">
        <v>17303.647499999999</v>
      </c>
    </row>
    <row r="7" spans="1:14" s="93" customFormat="1" ht="15" thickBot="1" x14ac:dyDescent="0.35">
      <c r="A7" s="141"/>
      <c r="B7" s="142"/>
      <c r="C7" s="142"/>
      <c r="D7" s="120"/>
      <c r="E7" s="120"/>
      <c r="F7" s="120"/>
      <c r="G7" s="120"/>
      <c r="H7" s="120"/>
      <c r="L7" s="80" t="s">
        <v>103</v>
      </c>
      <c r="M7" s="80"/>
      <c r="N7" s="80"/>
    </row>
    <row r="8" spans="1:14" s="93" customFormat="1" ht="15" thickBot="1" x14ac:dyDescent="0.35">
      <c r="A8" s="121" t="s">
        <v>48</v>
      </c>
      <c r="B8" s="122"/>
      <c r="C8" s="123"/>
      <c r="D8" s="124"/>
      <c r="E8" s="124"/>
      <c r="F8" s="124"/>
      <c r="G8" s="124"/>
      <c r="H8" s="124"/>
      <c r="L8" s="81" t="s">
        <v>49</v>
      </c>
      <c r="M8" s="81" t="s">
        <v>50</v>
      </c>
      <c r="N8" s="81" t="s">
        <v>51</v>
      </c>
    </row>
    <row r="9" spans="1:14" s="93" customFormat="1" x14ac:dyDescent="0.3">
      <c r="A9" s="125" t="s">
        <v>52</v>
      </c>
      <c r="B9" s="126"/>
      <c r="C9" s="126"/>
      <c r="D9" s="175">
        <v>1886.0186999999999</v>
      </c>
      <c r="E9" s="175">
        <v>1886.0186999999999</v>
      </c>
      <c r="F9" s="175">
        <v>1886.0186999999999</v>
      </c>
      <c r="G9" s="175">
        <v>1886.0186999999999</v>
      </c>
      <c r="H9" s="175">
        <v>1886.0186999999999</v>
      </c>
      <c r="L9" s="82">
        <f>D5</f>
        <v>1.25</v>
      </c>
      <c r="M9" s="82">
        <f>D25</f>
        <v>13526.387002757061</v>
      </c>
      <c r="N9" s="82">
        <f>D27</f>
        <v>6784.8700000000008</v>
      </c>
    </row>
    <row r="10" spans="1:14" s="93" customFormat="1" x14ac:dyDescent="0.3">
      <c r="A10" s="128" t="s">
        <v>53</v>
      </c>
      <c r="B10" s="129"/>
      <c r="C10" s="129"/>
      <c r="D10" s="176">
        <v>2116</v>
      </c>
      <c r="E10" s="176">
        <v>2483.1999999999998</v>
      </c>
      <c r="F10" s="176">
        <v>2850.3999999999996</v>
      </c>
      <c r="G10" s="176">
        <v>3217.6</v>
      </c>
      <c r="H10" s="176">
        <v>3584.8</v>
      </c>
      <c r="L10" s="82">
        <f>E5</f>
        <v>1.5</v>
      </c>
      <c r="M10" s="82">
        <f>E25</f>
        <v>14149.432668983913</v>
      </c>
      <c r="N10" s="82">
        <f>E27</f>
        <v>6784.8700000000008</v>
      </c>
    </row>
    <row r="11" spans="1:14" s="93" customFormat="1" x14ac:dyDescent="0.3">
      <c r="A11" s="128" t="s">
        <v>54</v>
      </c>
      <c r="B11" s="129"/>
      <c r="C11" s="129"/>
      <c r="D11" s="176">
        <v>800</v>
      </c>
      <c r="E11" s="176">
        <v>800</v>
      </c>
      <c r="F11" s="176">
        <v>800</v>
      </c>
      <c r="G11" s="176">
        <v>800</v>
      </c>
      <c r="H11" s="176">
        <v>800</v>
      </c>
      <c r="L11" s="82">
        <f>F5</f>
        <v>1.75</v>
      </c>
      <c r="M11" s="82">
        <f>F25</f>
        <v>14772.478335210766</v>
      </c>
      <c r="N11" s="82">
        <f>F27</f>
        <v>6784.8700000000008</v>
      </c>
    </row>
    <row r="12" spans="1:14" s="93" customFormat="1" x14ac:dyDescent="0.3">
      <c r="A12" s="128" t="s">
        <v>55</v>
      </c>
      <c r="B12" s="129"/>
      <c r="C12" s="129"/>
      <c r="D12" s="176">
        <v>1251.421229</v>
      </c>
      <c r="E12" s="176">
        <v>1267.981229</v>
      </c>
      <c r="F12" s="176">
        <v>1284.5412289999999</v>
      </c>
      <c r="G12" s="176">
        <v>1301.1012289999999</v>
      </c>
      <c r="H12" s="176">
        <v>1317.661229</v>
      </c>
      <c r="L12" s="82">
        <f>G5</f>
        <v>2</v>
      </c>
      <c r="M12" s="82">
        <f>G25</f>
        <v>15395.524001437616</v>
      </c>
      <c r="N12" s="82">
        <f>G27</f>
        <v>6784.8700000000008</v>
      </c>
    </row>
    <row r="13" spans="1:14" s="93" customFormat="1" x14ac:dyDescent="0.3">
      <c r="A13" s="128" t="s">
        <v>56</v>
      </c>
      <c r="B13" s="129"/>
      <c r="C13" s="129"/>
      <c r="D13" s="176">
        <v>1190.7364666666665</v>
      </c>
      <c r="E13" s="176">
        <v>1191.9247999999998</v>
      </c>
      <c r="F13" s="176">
        <v>1193.1131333333333</v>
      </c>
      <c r="G13" s="176">
        <v>1194.3014666666666</v>
      </c>
      <c r="H13" s="176">
        <v>1195.4897999999998</v>
      </c>
      <c r="L13" s="82">
        <f>H5</f>
        <v>2.25</v>
      </c>
      <c r="M13" s="82">
        <f>H25</f>
        <v>16018.569667664469</v>
      </c>
      <c r="N13" s="82">
        <f>H27</f>
        <v>6784.8700000000008</v>
      </c>
    </row>
    <row r="14" spans="1:14" s="93" customFormat="1" x14ac:dyDescent="0.3">
      <c r="A14" s="128" t="s">
        <v>57</v>
      </c>
      <c r="B14" s="129"/>
      <c r="C14" s="129"/>
      <c r="D14" s="176">
        <v>839.49</v>
      </c>
      <c r="E14" s="176">
        <v>839.49</v>
      </c>
      <c r="F14" s="176">
        <v>839.49</v>
      </c>
      <c r="G14" s="176">
        <v>839.49</v>
      </c>
      <c r="H14" s="176">
        <v>839.49</v>
      </c>
      <c r="L14" s="82" t="e">
        <f>#REF!</f>
        <v>#REF!</v>
      </c>
      <c r="M14" s="82" t="e">
        <f>#REF!</f>
        <v>#REF!</v>
      </c>
      <c r="N14" s="82" t="e">
        <f>#REF!</f>
        <v>#REF!</v>
      </c>
    </row>
    <row r="15" spans="1:14" s="93" customFormat="1" x14ac:dyDescent="0.3">
      <c r="A15" s="128" t="s">
        <v>58</v>
      </c>
      <c r="B15" s="129"/>
      <c r="C15" s="129"/>
      <c r="D15" s="176">
        <v>846.2</v>
      </c>
      <c r="E15" s="176">
        <v>846.2</v>
      </c>
      <c r="F15" s="176">
        <v>846.2</v>
      </c>
      <c r="G15" s="176">
        <v>846.2</v>
      </c>
      <c r="H15" s="176">
        <v>846.2</v>
      </c>
    </row>
    <row r="16" spans="1:14" s="93" customFormat="1" x14ac:dyDescent="0.3">
      <c r="A16" s="128" t="s">
        <v>59</v>
      </c>
      <c r="B16" s="129"/>
      <c r="C16" s="129"/>
      <c r="D16" s="176"/>
      <c r="E16" s="176"/>
      <c r="F16" s="176"/>
      <c r="G16" s="176"/>
      <c r="H16" s="176"/>
    </row>
    <row r="17" spans="1:9" s="93" customFormat="1" x14ac:dyDescent="0.3">
      <c r="A17" s="128" t="s">
        <v>60</v>
      </c>
      <c r="B17" s="129"/>
      <c r="C17" s="129"/>
      <c r="D17" s="176">
        <v>536.94021097617713</v>
      </c>
      <c r="E17" s="176">
        <v>566.04201392845209</v>
      </c>
      <c r="F17" s="176">
        <v>595.14381688072706</v>
      </c>
      <c r="G17" s="176">
        <v>624.24561983300202</v>
      </c>
      <c r="H17" s="176">
        <v>653.34742278527699</v>
      </c>
    </row>
    <row r="18" spans="1:9" s="93" customFormat="1" x14ac:dyDescent="0.3">
      <c r="A18" s="128" t="s">
        <v>61</v>
      </c>
      <c r="B18" s="129"/>
      <c r="C18" s="129"/>
      <c r="D18" s="176"/>
      <c r="E18" s="176"/>
      <c r="F18" s="176"/>
      <c r="G18" s="176"/>
      <c r="H18" s="176"/>
    </row>
    <row r="19" spans="1:9" s="93" customFormat="1" x14ac:dyDescent="0.3">
      <c r="A19" s="128" t="s">
        <v>62</v>
      </c>
      <c r="B19" s="129"/>
      <c r="C19" s="129"/>
      <c r="D19" s="176">
        <v>865.18237499999998</v>
      </c>
      <c r="E19" s="176">
        <v>1038.21885</v>
      </c>
      <c r="F19" s="176">
        <v>1211.2553249999999</v>
      </c>
      <c r="G19" s="176">
        <v>1384.2918</v>
      </c>
      <c r="H19" s="176">
        <v>1557.3282749999998</v>
      </c>
    </row>
    <row r="20" spans="1:9" s="93" customFormat="1" x14ac:dyDescent="0.3">
      <c r="A20" s="128" t="s">
        <v>63</v>
      </c>
      <c r="B20" s="129"/>
      <c r="C20" s="129"/>
      <c r="D20" s="176">
        <v>200</v>
      </c>
      <c r="E20" s="176">
        <v>200</v>
      </c>
      <c r="F20" s="176">
        <v>200</v>
      </c>
      <c r="G20" s="176">
        <v>200</v>
      </c>
      <c r="H20" s="176">
        <v>200</v>
      </c>
    </row>
    <row r="21" spans="1:9" s="93" customFormat="1" x14ac:dyDescent="0.3">
      <c r="A21" s="128" t="s">
        <v>64</v>
      </c>
      <c r="B21" s="129"/>
      <c r="C21" s="129"/>
      <c r="D21" s="176">
        <v>300</v>
      </c>
      <c r="E21" s="176">
        <v>300</v>
      </c>
      <c r="F21" s="176">
        <v>300</v>
      </c>
      <c r="G21" s="176">
        <v>300</v>
      </c>
      <c r="H21" s="176">
        <v>300</v>
      </c>
    </row>
    <row r="22" spans="1:9" s="93" customFormat="1" x14ac:dyDescent="0.3">
      <c r="A22" s="128" t="s">
        <v>65</v>
      </c>
      <c r="B22" s="129"/>
      <c r="C22" s="129"/>
      <c r="D22" s="176"/>
      <c r="E22" s="176"/>
      <c r="F22" s="176"/>
      <c r="G22" s="176"/>
      <c r="H22" s="176"/>
    </row>
    <row r="23" spans="1:9" s="93" customFormat="1" x14ac:dyDescent="0.3">
      <c r="A23" s="128" t="str">
        <f>Graansorghum!A23</f>
        <v>Oorlê land koste / overlay costs</v>
      </c>
      <c r="B23" s="129"/>
      <c r="C23" s="129"/>
      <c r="D23" s="176">
        <v>1913.7231528749999</v>
      </c>
      <c r="E23" s="176">
        <v>1913.7231528749999</v>
      </c>
      <c r="F23" s="176">
        <v>1913.7231528749999</v>
      </c>
      <c r="G23" s="176">
        <v>1913.7231528749999</v>
      </c>
      <c r="H23" s="176">
        <v>1913.7231528749999</v>
      </c>
    </row>
    <row r="24" spans="1:9" s="93" customFormat="1" ht="15" thickBot="1" x14ac:dyDescent="0.35">
      <c r="A24" s="128" t="s">
        <v>67</v>
      </c>
      <c r="B24" s="129"/>
      <c r="C24" s="129"/>
      <c r="D24" s="176">
        <v>780.67486823921797</v>
      </c>
      <c r="E24" s="176">
        <v>816.63392318046135</v>
      </c>
      <c r="F24" s="176">
        <v>852.59297812170496</v>
      </c>
      <c r="G24" s="176">
        <v>888.55203306294845</v>
      </c>
      <c r="H24" s="176">
        <v>924.51108800419195</v>
      </c>
    </row>
    <row r="25" spans="1:9" s="93" customFormat="1" ht="15" thickBot="1" x14ac:dyDescent="0.35">
      <c r="A25" s="131" t="s">
        <v>68</v>
      </c>
      <c r="B25" s="132"/>
      <c r="C25" s="133"/>
      <c r="D25" s="177">
        <f>SUM(D9:D24)</f>
        <v>13526.387002757061</v>
      </c>
      <c r="E25" s="177">
        <f>SUM(E9:E24)</f>
        <v>14149.432668983913</v>
      </c>
      <c r="F25" s="177">
        <f>SUM(F9:F24)</f>
        <v>14772.478335210766</v>
      </c>
      <c r="G25" s="177">
        <f>SUM(G9:G24)</f>
        <v>15395.524001437616</v>
      </c>
      <c r="H25" s="177">
        <f>SUM(H9:H24)</f>
        <v>16018.569667664469</v>
      </c>
    </row>
    <row r="26" spans="1:9" s="93" customFormat="1" ht="15" thickBot="1" x14ac:dyDescent="0.35">
      <c r="A26" s="135"/>
      <c r="B26" s="136"/>
      <c r="C26" s="136"/>
      <c r="D26" s="178"/>
      <c r="E26" s="178"/>
      <c r="F26" s="178"/>
      <c r="G26" s="178"/>
      <c r="H26" s="178"/>
    </row>
    <row r="27" spans="1:9" s="93" customFormat="1" ht="15" thickBot="1" x14ac:dyDescent="0.35">
      <c r="A27" s="138" t="s">
        <v>69</v>
      </c>
      <c r="B27" s="139"/>
      <c r="C27" s="140"/>
      <c r="D27" s="179">
        <v>6784.8700000000008</v>
      </c>
      <c r="E27" s="180">
        <v>6784.8700000000008</v>
      </c>
      <c r="F27" s="180">
        <v>6784.8700000000008</v>
      </c>
      <c r="G27" s="180">
        <v>6784.8700000000008</v>
      </c>
      <c r="H27" s="180">
        <v>6784.8700000000008</v>
      </c>
      <c r="I27" s="194"/>
    </row>
    <row r="28" spans="1:9" s="93" customFormat="1" ht="15" thickBot="1" x14ac:dyDescent="0.35">
      <c r="A28" s="135"/>
      <c r="B28" s="136"/>
      <c r="C28" s="136"/>
      <c r="D28" s="178"/>
      <c r="E28" s="178"/>
      <c r="F28" s="178"/>
      <c r="G28" s="178"/>
      <c r="H28" s="178"/>
    </row>
    <row r="29" spans="1:9" s="93" customFormat="1" ht="15" thickBot="1" x14ac:dyDescent="0.35">
      <c r="A29" s="131" t="s">
        <v>70</v>
      </c>
      <c r="B29" s="132"/>
      <c r="C29" s="133"/>
      <c r="D29" s="177">
        <f>D25+D27</f>
        <v>20311.257002757062</v>
      </c>
      <c r="E29" s="177">
        <f t="shared" ref="E29:H29" si="0">E25+E27</f>
        <v>20934.302668983913</v>
      </c>
      <c r="F29" s="177">
        <f t="shared" si="0"/>
        <v>21557.348335210765</v>
      </c>
      <c r="G29" s="177">
        <f t="shared" si="0"/>
        <v>22180.394001437617</v>
      </c>
      <c r="H29" s="177">
        <f t="shared" si="0"/>
        <v>22803.439667664468</v>
      </c>
    </row>
    <row r="30" spans="1:9" s="93" customFormat="1" ht="15" thickBot="1" x14ac:dyDescent="0.35">
      <c r="A30" s="141"/>
      <c r="B30" s="142"/>
      <c r="C30" s="142"/>
      <c r="D30" s="181"/>
      <c r="E30" s="181"/>
      <c r="F30" s="181"/>
      <c r="G30" s="181"/>
      <c r="H30" s="181"/>
    </row>
    <row r="31" spans="1:9" s="93" customFormat="1" ht="15" thickBot="1" x14ac:dyDescent="0.35">
      <c r="A31" s="131" t="s">
        <v>71</v>
      </c>
      <c r="B31" s="144"/>
      <c r="C31" s="145"/>
      <c r="D31" s="177">
        <f>D29/D5</f>
        <v>16249.005602205649</v>
      </c>
      <c r="E31" s="177">
        <f t="shared" ref="E31:H31" si="1">E29/E5</f>
        <v>13956.20177932261</v>
      </c>
      <c r="F31" s="177">
        <f t="shared" si="1"/>
        <v>12318.48476297758</v>
      </c>
      <c r="G31" s="177">
        <f t="shared" si="1"/>
        <v>11090.197000718808</v>
      </c>
      <c r="H31" s="177">
        <f t="shared" si="1"/>
        <v>10134.862074517541</v>
      </c>
    </row>
    <row r="32" spans="1:9" s="93" customFormat="1" ht="15" thickBot="1" x14ac:dyDescent="0.35">
      <c r="A32" s="141"/>
      <c r="B32" s="142"/>
      <c r="C32" s="142"/>
      <c r="D32" s="181"/>
      <c r="E32" s="181"/>
      <c r="F32" s="181"/>
      <c r="G32" s="181"/>
      <c r="H32" s="181"/>
    </row>
    <row r="33" spans="1:9" s="93" customFormat="1" ht="15" thickBot="1" x14ac:dyDescent="0.35">
      <c r="A33" s="113" t="s">
        <v>72</v>
      </c>
      <c r="B33" s="241"/>
      <c r="C33" s="241"/>
      <c r="D33" s="177">
        <f>'Pryse + Sensatiwiteitsanali'!$D$6</f>
        <v>209.49</v>
      </c>
      <c r="E33" s="177">
        <f>'Pryse + Sensatiwiteitsanali'!$D$6</f>
        <v>209.49</v>
      </c>
      <c r="F33" s="177">
        <f>'Pryse + Sensatiwiteitsanali'!$D$6</f>
        <v>209.49</v>
      </c>
      <c r="G33" s="177">
        <f>'Pryse + Sensatiwiteitsanali'!$D$6</f>
        <v>209.49</v>
      </c>
      <c r="H33" s="177">
        <f>'Pryse + Sensatiwiteitsanali'!$D$6</f>
        <v>209.49</v>
      </c>
    </row>
    <row r="34" spans="1:9" s="93" customFormat="1" ht="15" thickBot="1" x14ac:dyDescent="0.35">
      <c r="A34" s="141"/>
      <c r="B34" s="142"/>
      <c r="C34" s="142"/>
      <c r="D34" s="181"/>
      <c r="E34" s="181"/>
      <c r="F34" s="181"/>
      <c r="G34" s="181"/>
      <c r="H34" s="181"/>
    </row>
    <row r="35" spans="1:9" s="93" customFormat="1" ht="26.25" customHeight="1" thickBot="1" x14ac:dyDescent="0.35">
      <c r="A35" s="78" t="s">
        <v>73</v>
      </c>
      <c r="B35" s="447"/>
      <c r="C35" s="448"/>
      <c r="D35" s="182">
        <f>D31+D33</f>
        <v>16458.49560220565</v>
      </c>
      <c r="E35" s="182">
        <f>E31+E33</f>
        <v>14165.691779322609</v>
      </c>
      <c r="F35" s="182">
        <f>F31+F33</f>
        <v>12527.974762977579</v>
      </c>
      <c r="G35" s="182">
        <f>G31+G33</f>
        <v>11299.687000718808</v>
      </c>
      <c r="H35" s="182">
        <f>H31+H33</f>
        <v>10344.352074517541</v>
      </c>
    </row>
    <row r="36" spans="1:9" s="93" customFormat="1" ht="15" thickBot="1" x14ac:dyDescent="0.35">
      <c r="A36" s="260" t="s">
        <v>74</v>
      </c>
      <c r="B36" s="261"/>
      <c r="C36" s="262"/>
      <c r="D36" s="182">
        <f>'Pryse + Sensatiwiteitsanali'!B6</f>
        <v>7900</v>
      </c>
      <c r="E36" s="182">
        <f>$D$36</f>
        <v>7900</v>
      </c>
      <c r="F36" s="182">
        <f>$D$36</f>
        <v>7900</v>
      </c>
      <c r="G36" s="182">
        <f>$D$36</f>
        <v>7900</v>
      </c>
      <c r="H36" s="182">
        <f>$D$36</f>
        <v>7900</v>
      </c>
    </row>
    <row r="37" spans="1:9" s="93" customFormat="1" ht="15" thickBot="1" x14ac:dyDescent="0.35">
      <c r="D37" s="183"/>
      <c r="E37" s="183"/>
      <c r="F37" s="183"/>
      <c r="G37" s="183"/>
      <c r="H37" s="183"/>
    </row>
    <row r="38" spans="1:9" s="154" customFormat="1" x14ac:dyDescent="0.3">
      <c r="A38" s="83" t="s">
        <v>75</v>
      </c>
      <c r="B38" s="153"/>
      <c r="C38" s="153"/>
      <c r="D38" s="184">
        <f t="shared" ref="D38:H38" si="2">D6-D25</f>
        <v>-3913.2495027570603</v>
      </c>
      <c r="E38" s="185">
        <f t="shared" si="2"/>
        <v>-2613.6676689839132</v>
      </c>
      <c r="F38" s="184">
        <f t="shared" si="2"/>
        <v>-1314.0858352107662</v>
      </c>
      <c r="G38" s="185">
        <f t="shared" si="2"/>
        <v>-14.504001437615443</v>
      </c>
      <c r="H38" s="184">
        <f t="shared" si="2"/>
        <v>1285.0778323355298</v>
      </c>
    </row>
    <row r="39" spans="1:9" s="154" customFormat="1" ht="15" thickBot="1" x14ac:dyDescent="0.35">
      <c r="A39" s="85" t="s">
        <v>76</v>
      </c>
      <c r="B39" s="155"/>
      <c r="C39" s="155"/>
      <c r="D39" s="187">
        <f t="shared" ref="D39:H39" si="3">D6-D29</f>
        <v>-10698.119502757061</v>
      </c>
      <c r="E39" s="188">
        <f t="shared" si="3"/>
        <v>-9398.537668983914</v>
      </c>
      <c r="F39" s="187">
        <f t="shared" si="3"/>
        <v>-8098.9558352107651</v>
      </c>
      <c r="G39" s="188">
        <f t="shared" si="3"/>
        <v>-6799.3740014376162</v>
      </c>
      <c r="H39" s="187">
        <f t="shared" si="3"/>
        <v>-5499.7921676644692</v>
      </c>
    </row>
    <row r="40" spans="1:9" s="93" customFormat="1" x14ac:dyDescent="0.3">
      <c r="A40" s="87" t="s">
        <v>168</v>
      </c>
      <c r="B40" s="156"/>
      <c r="C40" s="156"/>
      <c r="D40" s="156"/>
      <c r="E40" s="156"/>
      <c r="F40" s="156"/>
      <c r="G40" s="156"/>
      <c r="H40" s="157"/>
      <c r="I40" s="158"/>
    </row>
    <row r="41" spans="1:9" s="93" customFormat="1" x14ac:dyDescent="0.3">
      <c r="A41" s="88" t="s">
        <v>77</v>
      </c>
      <c r="B41" s="159"/>
      <c r="C41" s="159"/>
      <c r="D41" s="159"/>
      <c r="E41" s="159"/>
      <c r="F41" s="159"/>
      <c r="G41" s="159"/>
      <c r="H41" s="160"/>
      <c r="I41" s="158"/>
    </row>
    <row r="42" spans="1:9" s="93" customFormat="1" ht="15" thickBot="1" x14ac:dyDescent="0.35">
      <c r="A42" s="88" t="s">
        <v>78</v>
      </c>
      <c r="B42" s="268"/>
      <c r="C42" s="268"/>
      <c r="D42" s="268"/>
      <c r="E42" s="268"/>
      <c r="F42" s="268"/>
      <c r="G42" s="268"/>
      <c r="H42" s="160"/>
      <c r="I42" s="158"/>
    </row>
    <row r="43" spans="1:9" s="93" customFormat="1" x14ac:dyDescent="0.3">
      <c r="A43" s="202" t="s">
        <v>79</v>
      </c>
      <c r="B43" s="203"/>
      <c r="C43" s="203"/>
      <c r="D43" s="203"/>
      <c r="E43" s="203"/>
      <c r="F43" s="449"/>
      <c r="G43" s="449"/>
      <c r="H43" s="441"/>
    </row>
    <row r="44" spans="1:9" s="93" customFormat="1" x14ac:dyDescent="0.3">
      <c r="A44" s="204"/>
      <c r="B44" s="201"/>
      <c r="C44" s="201"/>
      <c r="D44" s="201"/>
      <c r="E44" s="201"/>
      <c r="F44" s="432"/>
      <c r="G44" s="432"/>
      <c r="H44" s="293"/>
    </row>
    <row r="45" spans="1:9" s="93" customFormat="1" x14ac:dyDescent="0.3">
      <c r="A45" s="204"/>
      <c r="B45" s="201"/>
      <c r="C45" s="201"/>
      <c r="D45" s="201"/>
      <c r="E45" s="201"/>
      <c r="F45" s="432"/>
      <c r="G45" s="432"/>
      <c r="H45" s="293"/>
    </row>
    <row r="46" spans="1:9" s="93" customFormat="1" ht="15" thickBot="1" x14ac:dyDescent="0.35">
      <c r="A46" s="205"/>
      <c r="B46" s="206"/>
      <c r="C46" s="206"/>
      <c r="D46" s="206"/>
      <c r="E46" s="206"/>
      <c r="F46" s="450"/>
      <c r="G46" s="450"/>
      <c r="H46" s="294"/>
    </row>
  </sheetData>
  <mergeCells count="13">
    <mergeCell ref="A43:E46"/>
    <mergeCell ref="A38:C38"/>
    <mergeCell ref="A39:C39"/>
    <mergeCell ref="L7:N7"/>
    <mergeCell ref="A1:D1"/>
    <mergeCell ref="E1:G1"/>
    <mergeCell ref="A31:C31"/>
    <mergeCell ref="A35:C35"/>
    <mergeCell ref="A3:C3"/>
    <mergeCell ref="A8:C8"/>
    <mergeCell ref="A25:C25"/>
    <mergeCell ref="A27:C27"/>
    <mergeCell ref="A29:C29"/>
  </mergeCells>
  <conditionalFormatting sqref="D38:H39">
    <cfRule type="colorScale" priority="68">
      <colorScale>
        <cfvo type="min"/>
        <cfvo type="percentile" val="50"/>
        <cfvo type="max"/>
        <color rgb="FFF8696B"/>
        <color rgb="FFFFEB84"/>
        <color rgb="FF63BE7B"/>
      </colorScale>
    </cfRule>
    <cfRule type="colorScale" priority="69">
      <colorScale>
        <cfvo type="min"/>
        <cfvo type="percentile" val="50"/>
        <cfvo type="max"/>
        <color rgb="FFF8696B"/>
        <color rgb="FFFFEB84"/>
        <color rgb="FF63BE7B"/>
      </colorScale>
    </cfRule>
    <cfRule type="colorScale" priority="70">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scale="61" fitToHeight="0" orientation="portrait" r:id="rId1"/>
  <headerFooter>
    <oddHeader>&amp;F</oddHeader>
    <oddFooter>&amp;A&amp;RPage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85"/>
  <sheetViews>
    <sheetView tabSelected="1" zoomScale="70" zoomScaleNormal="70" workbookViewId="0">
      <selection activeCell="J14" sqref="J14"/>
    </sheetView>
  </sheetViews>
  <sheetFormatPr defaultColWidth="9.109375" defaultRowHeight="14.4" x14ac:dyDescent="0.3"/>
  <cols>
    <col min="1" max="1" width="63.21875" style="354" bestFit="1" customWidth="1"/>
    <col min="2" max="2" width="21.109375" style="354" customWidth="1"/>
    <col min="3" max="3" width="19.44140625" style="354" bestFit="1" customWidth="1"/>
    <col min="4" max="6" width="14.33203125" style="354" customWidth="1"/>
    <col min="7" max="7" width="15.21875" style="354" bestFit="1" customWidth="1"/>
    <col min="8" max="8" width="16.5546875" style="354" customWidth="1"/>
    <col min="9" max="9" width="12" style="354" bestFit="1" customWidth="1"/>
    <col min="10" max="10" width="10.88671875" style="354" bestFit="1" customWidth="1"/>
    <col min="11" max="11" width="61.33203125" style="354" bestFit="1" customWidth="1"/>
    <col min="12" max="12" width="7.6640625" style="354" customWidth="1"/>
    <col min="13" max="16384" width="9.109375" style="354"/>
  </cols>
  <sheetData>
    <row r="1" spans="1:12" ht="29.4" thickBot="1" x14ac:dyDescent="0.35">
      <c r="A1" s="297" t="s">
        <v>173</v>
      </c>
      <c r="B1" s="353" t="s">
        <v>104</v>
      </c>
      <c r="C1" s="353" t="s">
        <v>105</v>
      </c>
      <c r="D1" s="353" t="s">
        <v>106</v>
      </c>
      <c r="E1" s="353" t="s">
        <v>107</v>
      </c>
      <c r="F1" s="353" t="s">
        <v>108</v>
      </c>
      <c r="G1" s="353" t="s">
        <v>109</v>
      </c>
      <c r="H1" s="353" t="s">
        <v>110</v>
      </c>
      <c r="I1" s="353"/>
    </row>
    <row r="2" spans="1:12" x14ac:dyDescent="0.3">
      <c r="A2" s="298" t="s">
        <v>111</v>
      </c>
      <c r="B2" s="299" t="s">
        <v>112</v>
      </c>
      <c r="C2" s="299" t="s">
        <v>113</v>
      </c>
      <c r="D2" s="299" t="s">
        <v>114</v>
      </c>
      <c r="E2" s="299" t="s">
        <v>115</v>
      </c>
      <c r="F2" s="299" t="s">
        <v>116</v>
      </c>
      <c r="G2" s="299" t="s">
        <v>117</v>
      </c>
      <c r="H2" s="300" t="s">
        <v>118</v>
      </c>
      <c r="I2" s="353"/>
      <c r="K2" s="354" t="s">
        <v>119</v>
      </c>
    </row>
    <row r="3" spans="1:12" x14ac:dyDescent="0.3">
      <c r="A3" s="301" t="s">
        <v>120</v>
      </c>
      <c r="B3" s="345"/>
      <c r="C3" s="345"/>
      <c r="D3" s="346"/>
      <c r="E3" s="346"/>
      <c r="F3" s="346"/>
      <c r="G3" s="346"/>
      <c r="H3" s="302"/>
      <c r="I3" s="353"/>
      <c r="K3" s="337" t="s">
        <v>121</v>
      </c>
      <c r="L3" s="451">
        <v>4.9000000000000004</v>
      </c>
    </row>
    <row r="4" spans="1:12" x14ac:dyDescent="0.3">
      <c r="A4" s="323" t="s">
        <v>122</v>
      </c>
      <c r="B4" s="349">
        <f>'W-RR mielies Laer opbrengs '!F5</f>
        <v>4</v>
      </c>
      <c r="C4" s="349">
        <f>'W-RR mielies Hoer opbrengs  '!F5</f>
        <v>6</v>
      </c>
      <c r="D4" s="350">
        <f>L3</f>
        <v>4.9000000000000004</v>
      </c>
      <c r="E4" s="350">
        <f>L5</f>
        <v>1.4279999999999999</v>
      </c>
      <c r="F4" s="350">
        <f>L4</f>
        <v>2.0329999999999999</v>
      </c>
      <c r="G4" s="351">
        <f>L6</f>
        <v>2.9</v>
      </c>
      <c r="H4" s="352">
        <f>L7</f>
        <v>1.4715590028694403</v>
      </c>
      <c r="I4" s="353"/>
      <c r="K4" s="337" t="s">
        <v>123</v>
      </c>
      <c r="L4" s="451">
        <v>2.0329999999999999</v>
      </c>
    </row>
    <row r="5" spans="1:12" s="336" customFormat="1" x14ac:dyDescent="0.3">
      <c r="A5" s="323" t="s">
        <v>124</v>
      </c>
      <c r="B5" s="347">
        <f>'Pryse + Sensatiwiteitsanali'!B4</f>
        <v>3800</v>
      </c>
      <c r="C5" s="347">
        <f>'Pryse + Sensatiwiteitsanali'!B4</f>
        <v>3800</v>
      </c>
      <c r="D5" s="348">
        <f>C5</f>
        <v>3800</v>
      </c>
      <c r="E5" s="348">
        <f>'Pryse + Sensatiwiteitsanali'!B5</f>
        <v>10000</v>
      </c>
      <c r="F5" s="348">
        <f>'Pryse + Sensatiwiteitsanali'!B6</f>
        <v>7900</v>
      </c>
      <c r="G5" s="348">
        <f>'Pryse + Sensatiwiteitsanali'!B7</f>
        <v>3500</v>
      </c>
      <c r="H5" s="339">
        <f>Grondbone!D10</f>
        <v>16253.350000000002</v>
      </c>
      <c r="I5" s="335"/>
      <c r="K5" s="337" t="s">
        <v>125</v>
      </c>
      <c r="L5" s="451">
        <v>1.4279999999999999</v>
      </c>
    </row>
    <row r="6" spans="1:12" s="336" customFormat="1" x14ac:dyDescent="0.3">
      <c r="A6" s="323" t="s">
        <v>126</v>
      </c>
      <c r="B6" s="347">
        <v>420</v>
      </c>
      <c r="C6" s="347">
        <v>420</v>
      </c>
      <c r="D6" s="348">
        <f>C6</f>
        <v>420</v>
      </c>
      <c r="E6" s="348">
        <f>'Pryse + Sensatiwiteitsanali'!D5</f>
        <v>473.27</v>
      </c>
      <c r="F6" s="348">
        <v>218</v>
      </c>
      <c r="G6" s="348">
        <f>'Pryse + Sensatiwiteitsanali'!D7</f>
        <v>132</v>
      </c>
      <c r="H6" s="339">
        <f>'Pryse + Sensatiwiteitsanali'!D8</f>
        <v>63</v>
      </c>
      <c r="I6" s="335"/>
      <c r="K6" s="337" t="s">
        <v>87</v>
      </c>
      <c r="L6" s="451">
        <v>2.9</v>
      </c>
    </row>
    <row r="7" spans="1:12" s="336" customFormat="1" ht="15" thickBot="1" x14ac:dyDescent="0.35">
      <c r="A7" s="323" t="s">
        <v>127</v>
      </c>
      <c r="B7" s="340">
        <f>B5-B6</f>
        <v>3380</v>
      </c>
      <c r="C7" s="340">
        <f t="shared" ref="C7:H7" si="0">C5-C6</f>
        <v>3380</v>
      </c>
      <c r="D7" s="341">
        <f t="shared" si="0"/>
        <v>3380</v>
      </c>
      <c r="E7" s="341">
        <f t="shared" si="0"/>
        <v>9526.73</v>
      </c>
      <c r="F7" s="341">
        <f t="shared" si="0"/>
        <v>7682</v>
      </c>
      <c r="G7" s="341">
        <f>Graansorghum!E3</f>
        <v>3368</v>
      </c>
      <c r="H7" s="342">
        <f t="shared" si="0"/>
        <v>16190.350000000002</v>
      </c>
      <c r="I7" s="335"/>
      <c r="K7" s="337" t="s">
        <v>118</v>
      </c>
      <c r="L7" s="451">
        <v>1.4715590028694403</v>
      </c>
    </row>
    <row r="8" spans="1:12" ht="15" thickTop="1" x14ac:dyDescent="0.3">
      <c r="A8" s="303" t="s">
        <v>128</v>
      </c>
      <c r="B8" s="343">
        <f>B4*B7</f>
        <v>13520</v>
      </c>
      <c r="C8" s="343">
        <f>C4*C7</f>
        <v>20280</v>
      </c>
      <c r="D8" s="343">
        <f t="shared" ref="D8:G8" si="1">D4*D7</f>
        <v>16562</v>
      </c>
      <c r="E8" s="343">
        <f>E4*E7</f>
        <v>13604.170439999998</v>
      </c>
      <c r="F8" s="343">
        <f>F4*F7</f>
        <v>15617.505999999999</v>
      </c>
      <c r="G8" s="343">
        <f t="shared" si="1"/>
        <v>9767.1999999999989</v>
      </c>
      <c r="H8" s="344">
        <f>H4*H7</f>
        <v>23825.055302107245</v>
      </c>
      <c r="I8" s="353"/>
    </row>
    <row r="9" spans="1:12" x14ac:dyDescent="0.3">
      <c r="A9" s="323"/>
      <c r="B9" s="305"/>
      <c r="C9" s="305"/>
      <c r="D9" s="306"/>
      <c r="E9" s="306"/>
      <c r="F9" s="306"/>
      <c r="G9" s="306"/>
      <c r="H9" s="304"/>
      <c r="I9" s="353"/>
    </row>
    <row r="10" spans="1:12" x14ac:dyDescent="0.3">
      <c r="A10" s="301" t="s">
        <v>129</v>
      </c>
      <c r="B10" s="307"/>
      <c r="C10" s="307"/>
      <c r="D10" s="308"/>
      <c r="E10" s="308"/>
      <c r="F10" s="308"/>
      <c r="G10" s="308"/>
      <c r="H10" s="309"/>
      <c r="I10" s="353"/>
    </row>
    <row r="11" spans="1:12" x14ac:dyDescent="0.3">
      <c r="A11" s="338" t="str">
        <f>'W-BT Mielies '!A9</f>
        <v>Saad / Seed</v>
      </c>
      <c r="B11" s="317">
        <f>'W-RR mielies Laer opbrengs '!F9</f>
        <v>1604.847</v>
      </c>
      <c r="C11" s="317">
        <f>'W-RR mielies Hoer opbrengs  '!F9</f>
        <v>2447.3916750000003</v>
      </c>
      <c r="D11" s="318">
        <f>'W-BT Mielies '!G9</f>
        <v>1894.7485109374998</v>
      </c>
      <c r="E11" s="318">
        <f>Sonneblom!F9</f>
        <v>951.41173333333325</v>
      </c>
      <c r="F11" s="318">
        <f>Sojabone!G9</f>
        <v>1886.0186999999999</v>
      </c>
      <c r="G11" s="318">
        <f>Graansorghum!F9</f>
        <v>737.14740000000006</v>
      </c>
      <c r="H11" s="319">
        <f>Grondbone!D16</f>
        <v>900</v>
      </c>
      <c r="I11" s="355"/>
      <c r="J11" s="356"/>
    </row>
    <row r="12" spans="1:12" x14ac:dyDescent="0.3">
      <c r="A12" s="338" t="str">
        <f>'W-BT Mielies '!A10</f>
        <v>Kunsmis / Fertiliser</v>
      </c>
      <c r="B12" s="317">
        <f>'W-RR mielies Laer opbrengs '!F10</f>
        <v>5424.76</v>
      </c>
      <c r="C12" s="317">
        <f>'W-RR mielies Hoer opbrengs  '!F10</f>
        <v>8087.1399999999994</v>
      </c>
      <c r="D12" s="318">
        <f>'W-BT Mielies '!G10</f>
        <v>6755.95</v>
      </c>
      <c r="E12" s="318">
        <f>Sonneblom!F10</f>
        <v>2063.9949999999999</v>
      </c>
      <c r="F12" s="318">
        <f>Sojabone!G10</f>
        <v>3217.6</v>
      </c>
      <c r="G12" s="318">
        <f>Graansorghum!F10</f>
        <v>4389.2550000000001</v>
      </c>
      <c r="H12" s="319">
        <f>Grondbone!D17</f>
        <v>2404.6999999999998</v>
      </c>
      <c r="I12" s="355"/>
      <c r="J12" s="356"/>
    </row>
    <row r="13" spans="1:12" x14ac:dyDescent="0.3">
      <c r="A13" s="338" t="str">
        <f>'W-BT Mielies '!A11</f>
        <v>Kalk / Lime</v>
      </c>
      <c r="B13" s="317">
        <f>'W-RR mielies Laer opbrengs '!F11</f>
        <v>800</v>
      </c>
      <c r="C13" s="317">
        <f>'W-RR mielies Hoer opbrengs  '!F11</f>
        <v>800</v>
      </c>
      <c r="D13" s="318">
        <f>'W-BT Mielies '!G11</f>
        <v>800</v>
      </c>
      <c r="E13" s="318">
        <f>Sonneblom!F11</f>
        <v>800</v>
      </c>
      <c r="F13" s="318">
        <f>Sojabone!G11</f>
        <v>800</v>
      </c>
      <c r="G13" s="318">
        <f>Graansorghum!F11</f>
        <v>266.40000000000003</v>
      </c>
      <c r="H13" s="319">
        <f>Grondbone!D18</f>
        <v>800</v>
      </c>
      <c r="I13" s="355"/>
      <c r="J13" s="356"/>
    </row>
    <row r="14" spans="1:12" x14ac:dyDescent="0.3">
      <c r="A14" s="338" t="str">
        <f>'W-BT Mielies '!A12</f>
        <v>Brandstof / Fuel</v>
      </c>
      <c r="B14" s="317">
        <f>'W-RR mielies Laer opbrengs '!F12</f>
        <v>1533.0567679999999</v>
      </c>
      <c r="C14" s="317">
        <f>'W-RR mielies Hoer opbrengs  '!F12</f>
        <v>1412.3772290000002</v>
      </c>
      <c r="D14" s="318">
        <f>'W-BT Mielies '!G12</f>
        <v>1493.1972289999999</v>
      </c>
      <c r="E14" s="318">
        <f>Sonneblom!F12</f>
        <v>1374.080768</v>
      </c>
      <c r="F14" s="318">
        <f>Sojabone!G12</f>
        <v>1301.1012289999999</v>
      </c>
      <c r="G14" s="318">
        <f>Graansorghum!F12</f>
        <v>1501.7361260000002</v>
      </c>
      <c r="H14" s="319">
        <f>Grondbone!D19</f>
        <v>1696.6151580000001</v>
      </c>
      <c r="I14" s="355"/>
      <c r="J14" s="356"/>
    </row>
    <row r="15" spans="1:12" x14ac:dyDescent="0.3">
      <c r="A15" s="338" t="str">
        <f>'W-BT Mielies '!A13</f>
        <v>Reparasie / Reparation</v>
      </c>
      <c r="B15" s="317">
        <f>'W-RR mielies Laer opbrengs '!F13</f>
        <v>1343.7620666666667</v>
      </c>
      <c r="C15" s="317">
        <f>'W-RR mielies Hoer opbrengs  '!F13</f>
        <v>1290.3547999999998</v>
      </c>
      <c r="D15" s="318">
        <f>'W-BT Mielies '!G13</f>
        <v>1280.8481333333332</v>
      </c>
      <c r="E15" s="318">
        <f>Sonneblom!F13</f>
        <v>1264.3453999999999</v>
      </c>
      <c r="F15" s="318">
        <f>Sojabone!G13</f>
        <v>1194.3014666666666</v>
      </c>
      <c r="G15" s="318">
        <f>Graansorghum!F13</f>
        <v>1371.6587</v>
      </c>
      <c r="H15" s="319">
        <f>Grondbone!D20</f>
        <v>1775.4466576032387</v>
      </c>
      <c r="I15" s="355"/>
      <c r="J15" s="356"/>
    </row>
    <row r="16" spans="1:12" x14ac:dyDescent="0.3">
      <c r="A16" s="338" t="str">
        <f>'W-BT Mielies '!A14</f>
        <v>Onkruiddoders / Herbicide</v>
      </c>
      <c r="B16" s="317">
        <f>'W-RR mielies Laer opbrengs '!F14</f>
        <v>1345.3999999999999</v>
      </c>
      <c r="C16" s="317">
        <f>'W-RR mielies Hoer opbrengs  '!F14</f>
        <v>1345.3999999999999</v>
      </c>
      <c r="D16" s="318">
        <f>'W-BT Mielies '!G14</f>
        <v>1345.3999999999999</v>
      </c>
      <c r="E16" s="318">
        <f>Sonneblom!F14</f>
        <v>1305.5999999999999</v>
      </c>
      <c r="F16" s="318">
        <f>Sojabone!G14</f>
        <v>839.49</v>
      </c>
      <c r="G16" s="318">
        <f>Graansorghum!F14</f>
        <v>386.63839805251587</v>
      </c>
      <c r="H16" s="319">
        <f>Grondbone!D21</f>
        <v>1166.1857299235842</v>
      </c>
      <c r="I16" s="355"/>
      <c r="J16" s="356"/>
    </row>
    <row r="17" spans="1:18" x14ac:dyDescent="0.3">
      <c r="A17" s="338" t="str">
        <f>'W-BT Mielies '!A15</f>
        <v>Plaagdoder / Pest control</v>
      </c>
      <c r="B17" s="317">
        <f>'W-RR mielies Laer opbrengs '!F15</f>
        <v>582.65</v>
      </c>
      <c r="C17" s="317">
        <f>'W-RR mielies Hoer opbrengs  '!F15</f>
        <v>582.65</v>
      </c>
      <c r="D17" s="318">
        <f>'W-BT Mielies '!G15</f>
        <v>582.65</v>
      </c>
      <c r="E17" s="318">
        <f>Sonneblom!F15</f>
        <v>677.95</v>
      </c>
      <c r="F17" s="318">
        <f>Sojabone!G15</f>
        <v>846.2</v>
      </c>
      <c r="G17" s="318">
        <f>Graansorghum!F15</f>
        <v>582.65</v>
      </c>
      <c r="H17" s="319">
        <f>Grondbone!D22</f>
        <v>1096.2973853351521</v>
      </c>
      <c r="I17" s="355"/>
      <c r="J17" s="356"/>
    </row>
    <row r="18" spans="1:18" x14ac:dyDescent="0.3">
      <c r="A18" s="338" t="str">
        <f>'W-BT Mielies '!A16</f>
        <v>Insetversekering / Input insurance</v>
      </c>
      <c r="B18" s="317"/>
      <c r="C18" s="317"/>
      <c r="D18" s="318"/>
      <c r="E18" s="318"/>
      <c r="F18" s="318"/>
      <c r="G18" s="318"/>
      <c r="H18" s="319"/>
      <c r="I18" s="355"/>
      <c r="J18" s="356"/>
    </row>
    <row r="19" spans="1:18" x14ac:dyDescent="0.3">
      <c r="A19" s="338" t="str">
        <f>'W-BT Mielies '!A17</f>
        <v>Graanprysverskansing / Grain hedging</v>
      </c>
      <c r="B19" s="317">
        <f>'W-RR mielies Laer opbrengs '!F17</f>
        <v>1230.7889730459769</v>
      </c>
      <c r="C19" s="317">
        <f>'W-RR mielies Hoer opbrengs  '!F17</f>
        <v>1551.3919025292469</v>
      </c>
      <c r="D19" s="318">
        <f>'W-BT Mielies '!G17</f>
        <v>1379.8427413271331</v>
      </c>
      <c r="E19" s="318">
        <f>Sonneblom!F17</f>
        <v>403.26064743197998</v>
      </c>
      <c r="F19" s="318">
        <f>Sojabone!G17</f>
        <v>624.24561983300202</v>
      </c>
      <c r="G19" s="318"/>
      <c r="H19" s="319"/>
      <c r="I19" s="355"/>
      <c r="J19" s="356"/>
    </row>
    <row r="20" spans="1:18" x14ac:dyDescent="0.3">
      <c r="A20" s="338" t="str">
        <f>'W-BT Mielies '!A18</f>
        <v>Kontrakstroop / Contract Harvesting</v>
      </c>
      <c r="B20" s="317"/>
      <c r="C20" s="317"/>
      <c r="D20" s="318"/>
      <c r="E20" s="318"/>
      <c r="F20" s="318"/>
      <c r="G20" s="318"/>
      <c r="H20" s="319"/>
      <c r="I20" s="355"/>
      <c r="J20" s="356"/>
      <c r="N20" s="356"/>
    </row>
    <row r="21" spans="1:18" x14ac:dyDescent="0.3">
      <c r="A21" s="338" t="str">
        <f>'W-BT Mielies '!A19</f>
        <v>Oesversekering / Harvest insurance</v>
      </c>
      <c r="B21" s="317">
        <f>'W-RR mielies Laer opbrengs '!F19</f>
        <v>377.87008000000009</v>
      </c>
      <c r="C21" s="317">
        <f>'W-RR mielies Hoer opbrengs  '!F19</f>
        <v>566.8051200000001</v>
      </c>
      <c r="D21" s="318">
        <f>'W-BT Mielies '!G19</f>
        <v>495.95448000000022</v>
      </c>
      <c r="E21" s="318">
        <f>Sonneblom!F19</f>
        <v>643.05427499999996</v>
      </c>
      <c r="F21" s="318">
        <f>Sojabone!G19</f>
        <v>1384.2918</v>
      </c>
      <c r="G21" s="318">
        <f>Graansorghum!F19</f>
        <v>231.99455999999998</v>
      </c>
      <c r="H21" s="319"/>
      <c r="I21" s="355"/>
      <c r="J21" s="356"/>
    </row>
    <row r="22" spans="1:18" x14ac:dyDescent="0.3">
      <c r="A22" s="338" t="str">
        <f>'W-BT Mielies '!A20</f>
        <v>Lugspuit / Aerial spray</v>
      </c>
      <c r="B22" s="317">
        <f>'W-RR mielies Laer opbrengs '!F20</f>
        <v>200</v>
      </c>
      <c r="C22" s="317">
        <f>'W-RR mielies Hoer opbrengs  '!F20</f>
        <v>200</v>
      </c>
      <c r="D22" s="318">
        <f>'W-BT Mielies '!G20</f>
        <v>200</v>
      </c>
      <c r="E22" s="318">
        <f>Sonneblom!F20</f>
        <v>200</v>
      </c>
      <c r="F22" s="318">
        <f>Sojabone!G20</f>
        <v>200</v>
      </c>
      <c r="G22" s="318"/>
      <c r="H22" s="319"/>
      <c r="I22" s="355"/>
      <c r="J22" s="356"/>
    </row>
    <row r="23" spans="1:18" x14ac:dyDescent="0.3">
      <c r="A23" s="338" t="str">
        <f>'W-BT Mielies '!A21</f>
        <v>Losarbeid / Casual labour</v>
      </c>
      <c r="B23" s="317">
        <f>'W-RR mielies Laer opbrengs '!F21</f>
        <v>300</v>
      </c>
      <c r="C23" s="317">
        <f>'W-RR mielies Hoer opbrengs  '!F21</f>
        <v>300</v>
      </c>
      <c r="D23" s="318">
        <f>'W-BT Mielies '!G21</f>
        <v>300</v>
      </c>
      <c r="E23" s="318">
        <f>Sonneblom!F21</f>
        <v>300</v>
      </c>
      <c r="F23" s="318">
        <f>Sojabone!G21</f>
        <v>300</v>
      </c>
      <c r="G23" s="318">
        <f>Graansorghum!F21</f>
        <v>300</v>
      </c>
      <c r="H23" s="319">
        <f>Grondbone!D28</f>
        <v>300</v>
      </c>
      <c r="I23" s="355"/>
      <c r="J23" s="356"/>
    </row>
    <row r="24" spans="1:18" x14ac:dyDescent="0.3">
      <c r="A24" s="338" t="str">
        <f>'W-BT Mielies '!A22</f>
        <v>Droogkoste / Drying cost</v>
      </c>
      <c r="B24" s="317"/>
      <c r="C24" s="317"/>
      <c r="D24" s="318"/>
      <c r="E24" s="318"/>
      <c r="F24" s="318"/>
      <c r="G24" s="318"/>
      <c r="H24" s="319"/>
      <c r="I24" s="355"/>
      <c r="J24" s="356"/>
    </row>
    <row r="25" spans="1:18" x14ac:dyDescent="0.3">
      <c r="A25" s="338" t="str">
        <f>'W-BT Mielies '!A23</f>
        <v>Oorlê land koste / overlay costs</v>
      </c>
      <c r="B25" s="317"/>
      <c r="C25" s="317">
        <f>'W-RR mielies Hoer opbrengs  '!F23</f>
        <v>1913.7231528749999</v>
      </c>
      <c r="D25" s="318">
        <f>'W-BT Mielies '!G23</f>
        <v>1913.7231528749999</v>
      </c>
      <c r="E25" s="318"/>
      <c r="F25" s="318">
        <f>Sojabone!G23</f>
        <v>1913.7231528749999</v>
      </c>
      <c r="G25" s="318"/>
      <c r="H25" s="319">
        <f>Grondbone!D30</f>
        <v>350</v>
      </c>
      <c r="I25" s="355"/>
      <c r="J25" s="356"/>
    </row>
    <row r="26" spans="1:18" x14ac:dyDescent="0.3">
      <c r="A26" s="338" t="str">
        <f>'W-BT Mielies '!A24</f>
        <v>Produksiekrediet rente / Interest on production R/ha</v>
      </c>
      <c r="B26" s="317">
        <f>'W-RR mielies Laer opbrengs '!F24</f>
        <v>903.01701187239939</v>
      </c>
      <c r="C26" s="317">
        <f>'W-RR mielies Hoer opbrengs  '!F24</f>
        <v>1255.4555751135099</v>
      </c>
      <c r="D26" s="318">
        <f>'W-BT Mielies '!G24</f>
        <v>1129.5917476577188</v>
      </c>
      <c r="E26" s="318">
        <f>Sonneblom!F24</f>
        <v>611.50149170562554</v>
      </c>
      <c r="F26" s="318">
        <f>Sojabone!G24</f>
        <v>888.55203306294845</v>
      </c>
      <c r="G26" s="318">
        <f>Graansorghum!F24</f>
        <v>610.32519466071653</v>
      </c>
      <c r="H26" s="319">
        <f>Grondbone!D31</f>
        <v>621.02875201529594</v>
      </c>
      <c r="I26" s="355"/>
      <c r="J26" s="356"/>
    </row>
    <row r="27" spans="1:18" x14ac:dyDescent="0.3">
      <c r="A27" s="310" t="s">
        <v>130</v>
      </c>
      <c r="B27" s="311">
        <f t="shared" ref="B27:H27" si="2">SUM(B11:B26)</f>
        <v>15646.151899585044</v>
      </c>
      <c r="C27" s="311">
        <f t="shared" si="2"/>
        <v>21752.689454517753</v>
      </c>
      <c r="D27" s="312">
        <f t="shared" si="2"/>
        <v>19571.905995130681</v>
      </c>
      <c r="E27" s="312">
        <f t="shared" si="2"/>
        <v>10595.19931547094</v>
      </c>
      <c r="F27" s="312">
        <f t="shared" si="2"/>
        <v>15395.524001437616</v>
      </c>
      <c r="G27" s="312">
        <f t="shared" si="2"/>
        <v>10377.80537871323</v>
      </c>
      <c r="H27" s="313">
        <f t="shared" si="2"/>
        <v>11110.27368287727</v>
      </c>
      <c r="I27" s="355"/>
    </row>
    <row r="28" spans="1:18" ht="15" thickBot="1" x14ac:dyDescent="0.35">
      <c r="A28" s="303"/>
      <c r="B28" s="314"/>
      <c r="C28" s="314"/>
      <c r="D28" s="315"/>
      <c r="E28" s="315"/>
      <c r="F28" s="315"/>
      <c r="G28" s="315"/>
      <c r="H28" s="316"/>
      <c r="I28" s="353"/>
    </row>
    <row r="29" spans="1:18" ht="15" thickTop="1" x14ac:dyDescent="0.3">
      <c r="A29" s="310" t="s">
        <v>131</v>
      </c>
      <c r="B29" s="311">
        <f>'W-RR mielies Laer opbrengs '!D27</f>
        <v>7127.22</v>
      </c>
      <c r="C29" s="311">
        <f>'W-RR mielies Hoer opbrengs  '!D27</f>
        <v>7328.6099999999988</v>
      </c>
      <c r="D29" s="312">
        <f>'W-BT Mielies '!D27</f>
        <v>7658.1599999999989</v>
      </c>
      <c r="E29" s="312">
        <f>SUM(Sonneblom!D27)</f>
        <v>6336.2800000000007</v>
      </c>
      <c r="F29" s="312">
        <f>Sojabone!G27</f>
        <v>6784.8700000000008</v>
      </c>
      <c r="G29" s="312">
        <f>Graansorghum!F27</f>
        <v>6918.24</v>
      </c>
      <c r="H29" s="313">
        <f>Grondbone!D34</f>
        <v>7880.47</v>
      </c>
      <c r="I29" s="353"/>
      <c r="J29" s="355"/>
      <c r="K29" s="355"/>
      <c r="R29" s="336"/>
    </row>
    <row r="30" spans="1:18" x14ac:dyDescent="0.3">
      <c r="A30" s="303"/>
      <c r="B30" s="317"/>
      <c r="C30" s="317"/>
      <c r="D30" s="318"/>
      <c r="E30" s="318"/>
      <c r="F30" s="318"/>
      <c r="G30" s="318"/>
      <c r="H30" s="319"/>
      <c r="I30" s="353"/>
      <c r="R30" s="336"/>
    </row>
    <row r="31" spans="1:18" ht="15" thickBot="1" x14ac:dyDescent="0.35">
      <c r="A31" s="310" t="s">
        <v>132</v>
      </c>
      <c r="B31" s="320">
        <f>B27+B29</f>
        <v>22773.371899585043</v>
      </c>
      <c r="C31" s="320">
        <f t="shared" ref="C31:H31" si="3">C27+C29</f>
        <v>29081.29945451775</v>
      </c>
      <c r="D31" s="321">
        <f t="shared" si="3"/>
        <v>27230.065995130681</v>
      </c>
      <c r="E31" s="321">
        <f t="shared" si="3"/>
        <v>16931.47931547094</v>
      </c>
      <c r="F31" s="321">
        <f t="shared" si="3"/>
        <v>22180.394001437617</v>
      </c>
      <c r="G31" s="321">
        <f t="shared" si="3"/>
        <v>17296.045378713228</v>
      </c>
      <c r="H31" s="322">
        <f t="shared" si="3"/>
        <v>18990.74368287727</v>
      </c>
      <c r="I31" s="353"/>
      <c r="R31" s="336"/>
    </row>
    <row r="32" spans="1:18" ht="10.199999999999999" customHeight="1" thickTop="1" thickBot="1" x14ac:dyDescent="0.35">
      <c r="A32" s="323"/>
      <c r="B32" s="314"/>
      <c r="C32" s="314"/>
      <c r="D32" s="324"/>
      <c r="E32" s="324"/>
      <c r="F32" s="324"/>
      <c r="G32" s="324"/>
      <c r="H32" s="325"/>
      <c r="I32" s="353"/>
    </row>
    <row r="33" spans="1:9" ht="15" thickTop="1" x14ac:dyDescent="0.3">
      <c r="A33" s="326" t="s">
        <v>133</v>
      </c>
      <c r="B33" s="327">
        <f t="shared" ref="B33:H33" si="4">B8-B27</f>
        <v>-2126.1518995850438</v>
      </c>
      <c r="C33" s="327">
        <f t="shared" si="4"/>
        <v>-1472.6894545177529</v>
      </c>
      <c r="D33" s="328">
        <f t="shared" si="4"/>
        <v>-3009.9059951306808</v>
      </c>
      <c r="E33" s="328">
        <f t="shared" si="4"/>
        <v>3008.9711245290582</v>
      </c>
      <c r="F33" s="328">
        <f t="shared" si="4"/>
        <v>221.98199856238352</v>
      </c>
      <c r="G33" s="328">
        <f t="shared" si="4"/>
        <v>-610.6053787132314</v>
      </c>
      <c r="H33" s="329">
        <f t="shared" si="4"/>
        <v>12714.781619229974</v>
      </c>
      <c r="I33" s="353"/>
    </row>
    <row r="34" spans="1:9" ht="15" thickBot="1" x14ac:dyDescent="0.35">
      <c r="A34" s="330" t="s">
        <v>134</v>
      </c>
      <c r="B34" s="331">
        <f t="shared" ref="B34:H34" si="5">B8-B31</f>
        <v>-9253.3718995850431</v>
      </c>
      <c r="C34" s="331">
        <f t="shared" si="5"/>
        <v>-8801.2994545177498</v>
      </c>
      <c r="D34" s="332">
        <f t="shared" si="5"/>
        <v>-10668.065995130681</v>
      </c>
      <c r="E34" s="332">
        <f t="shared" si="5"/>
        <v>-3327.3088754709424</v>
      </c>
      <c r="F34" s="332">
        <f t="shared" si="5"/>
        <v>-6562.8880014376173</v>
      </c>
      <c r="G34" s="332">
        <f t="shared" si="5"/>
        <v>-7528.8453787132294</v>
      </c>
      <c r="H34" s="333">
        <f t="shared" si="5"/>
        <v>4834.3116192299749</v>
      </c>
      <c r="I34" s="353"/>
    </row>
    <row r="35" spans="1:9" ht="15" thickBot="1" x14ac:dyDescent="0.35">
      <c r="A35" s="452"/>
      <c r="B35" s="453"/>
      <c r="C35" s="453"/>
      <c r="D35" s="453"/>
      <c r="E35" s="453"/>
      <c r="F35" s="453"/>
      <c r="G35" s="453"/>
      <c r="H35" s="453"/>
      <c r="I35" s="353"/>
    </row>
    <row r="36" spans="1:9" ht="54" customHeight="1" thickBot="1" x14ac:dyDescent="0.35">
      <c r="A36" s="454" t="s">
        <v>174</v>
      </c>
      <c r="B36" s="455"/>
      <c r="C36" s="455"/>
      <c r="D36" s="455"/>
      <c r="E36" s="456"/>
      <c r="F36" s="456"/>
      <c r="G36" s="456"/>
      <c r="H36" s="457"/>
      <c r="I36" s="353"/>
    </row>
    <row r="37" spans="1:9" ht="9.75" customHeight="1" x14ac:dyDescent="0.3">
      <c r="A37" s="357"/>
      <c r="B37" s="357"/>
      <c r="C37" s="357"/>
      <c r="D37" s="357"/>
      <c r="E37" s="358"/>
      <c r="F37" s="358"/>
      <c r="G37" s="358"/>
      <c r="H37" s="358"/>
      <c r="I37" s="353"/>
    </row>
    <row r="38" spans="1:9" x14ac:dyDescent="0.3">
      <c r="A38" s="359"/>
      <c r="B38" s="359"/>
      <c r="C38" s="359"/>
      <c r="D38" s="359"/>
      <c r="E38" s="359"/>
      <c r="F38" s="359"/>
      <c r="G38" s="359"/>
      <c r="H38" s="359"/>
      <c r="I38" s="353"/>
    </row>
    <row r="39" spans="1:9" x14ac:dyDescent="0.3">
      <c r="A39" s="359"/>
      <c r="B39" s="359"/>
      <c r="C39" s="359"/>
      <c r="D39" s="359"/>
      <c r="E39" s="359"/>
      <c r="F39" s="359"/>
      <c r="G39" s="359"/>
      <c r="H39" s="359"/>
      <c r="I39" s="353"/>
    </row>
    <row r="40" spans="1:9" x14ac:dyDescent="0.3">
      <c r="A40" s="359"/>
      <c r="B40" s="359"/>
      <c r="C40" s="359"/>
      <c r="D40" s="359"/>
      <c r="E40" s="359"/>
      <c r="F40" s="359"/>
      <c r="G40" s="359"/>
      <c r="H40" s="359"/>
      <c r="I40" s="353"/>
    </row>
    <row r="41" spans="1:9" x14ac:dyDescent="0.3">
      <c r="A41" s="359"/>
      <c r="B41" s="359"/>
      <c r="C41" s="359"/>
      <c r="D41" s="359"/>
      <c r="E41" s="359"/>
      <c r="F41" s="359"/>
      <c r="G41" s="359"/>
      <c r="H41" s="359"/>
      <c r="I41" s="353"/>
    </row>
    <row r="42" spans="1:9" x14ac:dyDescent="0.3">
      <c r="A42" s="359"/>
      <c r="B42" s="359"/>
      <c r="C42" s="359"/>
      <c r="D42" s="359"/>
      <c r="E42" s="359"/>
      <c r="F42" s="359"/>
      <c r="G42" s="359"/>
      <c r="H42" s="359"/>
      <c r="I42" s="353"/>
    </row>
    <row r="43" spans="1:9" x14ac:dyDescent="0.3">
      <c r="A43" s="359"/>
      <c r="B43" s="359"/>
      <c r="C43" s="359"/>
      <c r="D43" s="359"/>
      <c r="E43" s="359"/>
      <c r="F43" s="359"/>
      <c r="G43" s="359"/>
      <c r="H43" s="359"/>
      <c r="I43" s="353"/>
    </row>
    <row r="44" spans="1:9" x14ac:dyDescent="0.3">
      <c r="A44" s="359"/>
      <c r="B44" s="359"/>
      <c r="C44" s="359"/>
      <c r="D44" s="359"/>
      <c r="E44" s="359"/>
      <c r="F44" s="359"/>
      <c r="G44" s="359"/>
      <c r="H44" s="359"/>
      <c r="I44" s="353"/>
    </row>
    <row r="45" spans="1:9" x14ac:dyDescent="0.3">
      <c r="A45" s="359"/>
      <c r="B45" s="359"/>
      <c r="C45" s="359"/>
      <c r="D45" s="359"/>
      <c r="E45" s="359"/>
      <c r="F45" s="359"/>
      <c r="G45" s="359"/>
      <c r="H45" s="359"/>
      <c r="I45" s="353"/>
    </row>
    <row r="46" spans="1:9" x14ac:dyDescent="0.3">
      <c r="A46" s="359"/>
      <c r="B46" s="359"/>
      <c r="C46" s="359"/>
      <c r="D46" s="359"/>
      <c r="E46" s="359"/>
      <c r="F46" s="359"/>
      <c r="G46" s="359"/>
      <c r="H46" s="359"/>
      <c r="I46" s="353"/>
    </row>
    <row r="47" spans="1:9" x14ac:dyDescent="0.3">
      <c r="A47" s="359"/>
      <c r="B47" s="359"/>
      <c r="C47" s="359"/>
      <c r="D47" s="359"/>
      <c r="E47" s="359"/>
      <c r="F47" s="359"/>
      <c r="G47" s="359"/>
      <c r="H47" s="359"/>
      <c r="I47" s="353"/>
    </row>
    <row r="48" spans="1:9" x14ac:dyDescent="0.3">
      <c r="A48" s="359"/>
      <c r="B48" s="359"/>
      <c r="C48" s="359"/>
      <c r="D48" s="359"/>
      <c r="E48" s="359"/>
      <c r="F48" s="359"/>
      <c r="G48" s="359"/>
      <c r="H48" s="359"/>
      <c r="I48" s="353"/>
    </row>
    <row r="49" spans="1:9" x14ac:dyDescent="0.3">
      <c r="A49" s="359"/>
      <c r="B49" s="359"/>
      <c r="C49" s="359"/>
      <c r="D49" s="359"/>
      <c r="E49" s="359"/>
      <c r="F49" s="359"/>
      <c r="G49" s="359"/>
      <c r="H49" s="359"/>
      <c r="I49" s="353"/>
    </row>
    <row r="50" spans="1:9" x14ac:dyDescent="0.3">
      <c r="A50" s="359"/>
      <c r="B50" s="359"/>
      <c r="C50" s="359"/>
      <c r="D50" s="359"/>
      <c r="E50" s="359"/>
      <c r="F50" s="359"/>
      <c r="G50" s="359"/>
      <c r="H50" s="359"/>
      <c r="I50" s="353"/>
    </row>
    <row r="51" spans="1:9" x14ac:dyDescent="0.3">
      <c r="A51" s="359"/>
      <c r="B51" s="359"/>
      <c r="C51" s="359"/>
      <c r="D51" s="359"/>
      <c r="E51" s="359"/>
      <c r="F51" s="359"/>
      <c r="G51" s="359"/>
      <c r="H51" s="359"/>
      <c r="I51" s="353"/>
    </row>
    <row r="52" spans="1:9" x14ac:dyDescent="0.3">
      <c r="A52" s="359"/>
      <c r="B52" s="359"/>
      <c r="C52" s="359"/>
      <c r="D52" s="359"/>
      <c r="E52" s="359"/>
      <c r="F52" s="359"/>
      <c r="G52" s="359"/>
      <c r="H52" s="359"/>
      <c r="I52" s="353"/>
    </row>
    <row r="53" spans="1:9" x14ac:dyDescent="0.3">
      <c r="A53" s="359"/>
      <c r="B53" s="359"/>
      <c r="C53" s="359"/>
      <c r="D53" s="359"/>
      <c r="E53" s="359"/>
      <c r="F53" s="359"/>
      <c r="G53" s="359"/>
      <c r="H53" s="359"/>
      <c r="I53" s="353"/>
    </row>
    <row r="54" spans="1:9" x14ac:dyDescent="0.3">
      <c r="A54" s="359"/>
      <c r="B54" s="359"/>
      <c r="C54" s="359"/>
      <c r="D54" s="359"/>
      <c r="E54" s="359"/>
      <c r="F54" s="359"/>
      <c r="G54" s="359"/>
      <c r="H54" s="359"/>
      <c r="I54" s="353"/>
    </row>
    <row r="55" spans="1:9" x14ac:dyDescent="0.3">
      <c r="A55" s="359"/>
      <c r="B55" s="359"/>
      <c r="C55" s="359"/>
      <c r="D55" s="359"/>
      <c r="E55" s="359"/>
      <c r="F55" s="359"/>
      <c r="G55" s="359"/>
      <c r="H55" s="359"/>
      <c r="I55" s="353"/>
    </row>
    <row r="56" spans="1:9" x14ac:dyDescent="0.3">
      <c r="A56" s="359"/>
      <c r="B56" s="359"/>
      <c r="C56" s="359"/>
      <c r="D56" s="359"/>
      <c r="E56" s="359"/>
      <c r="F56" s="359"/>
      <c r="G56" s="359"/>
      <c r="H56" s="359"/>
      <c r="I56" s="353"/>
    </row>
    <row r="57" spans="1:9" ht="15" thickBot="1" x14ac:dyDescent="0.35">
      <c r="A57" s="334" t="s">
        <v>135</v>
      </c>
      <c r="B57" s="360"/>
      <c r="C57" s="360"/>
      <c r="D57" s="360"/>
      <c r="E57" s="360"/>
      <c r="F57" s="360"/>
      <c r="G57" s="360"/>
      <c r="H57" s="360"/>
      <c r="I57" s="353"/>
    </row>
    <row r="58" spans="1:9" ht="27" customHeight="1" thickBot="1" x14ac:dyDescent="0.35">
      <c r="A58" s="364"/>
      <c r="B58" s="365" t="str">
        <f t="shared" ref="B58:H58" si="6">B2</f>
        <v>Maize (lower yield)</v>
      </c>
      <c r="C58" s="365" t="str">
        <f t="shared" si="6"/>
        <v>Maize (higher yield)</v>
      </c>
      <c r="D58" s="365" t="str">
        <f t="shared" si="6"/>
        <v>Maize (Bt)</v>
      </c>
      <c r="E58" s="365" t="str">
        <f t="shared" si="6"/>
        <v>Sunflower</v>
      </c>
      <c r="F58" s="365" t="str">
        <f t="shared" si="6"/>
        <v>Soybean</v>
      </c>
      <c r="G58" s="365" t="str">
        <f t="shared" si="6"/>
        <v>Grain Sorghum</v>
      </c>
      <c r="H58" s="366" t="str">
        <f t="shared" si="6"/>
        <v>Groundnuts</v>
      </c>
      <c r="I58" s="353"/>
    </row>
    <row r="59" spans="1:9" x14ac:dyDescent="0.3">
      <c r="A59" s="367" t="s">
        <v>124</v>
      </c>
      <c r="B59" s="368">
        <f t="shared" ref="B59:H59" si="7">B5</f>
        <v>3800</v>
      </c>
      <c r="C59" s="368">
        <f t="shared" si="7"/>
        <v>3800</v>
      </c>
      <c r="D59" s="368">
        <f t="shared" si="7"/>
        <v>3800</v>
      </c>
      <c r="E59" s="368">
        <f t="shared" si="7"/>
        <v>10000</v>
      </c>
      <c r="F59" s="368">
        <f t="shared" si="7"/>
        <v>7900</v>
      </c>
      <c r="G59" s="368">
        <f t="shared" si="7"/>
        <v>3500</v>
      </c>
      <c r="H59" s="369">
        <f t="shared" si="7"/>
        <v>16253.350000000002</v>
      </c>
      <c r="I59" s="353"/>
    </row>
    <row r="60" spans="1:9" x14ac:dyDescent="0.3">
      <c r="A60" s="370" t="s">
        <v>136</v>
      </c>
      <c r="B60" s="371">
        <f t="shared" ref="B60:H60" si="8">B4</f>
        <v>4</v>
      </c>
      <c r="C60" s="371">
        <f t="shared" si="8"/>
        <v>6</v>
      </c>
      <c r="D60" s="371">
        <f t="shared" si="8"/>
        <v>4.9000000000000004</v>
      </c>
      <c r="E60" s="371">
        <f t="shared" si="8"/>
        <v>1.4279999999999999</v>
      </c>
      <c r="F60" s="371">
        <f t="shared" si="8"/>
        <v>2.0329999999999999</v>
      </c>
      <c r="G60" s="371">
        <f t="shared" si="8"/>
        <v>2.9</v>
      </c>
      <c r="H60" s="372">
        <f t="shared" si="8"/>
        <v>1.4715590028694403</v>
      </c>
      <c r="I60" s="353"/>
    </row>
    <row r="61" spans="1:9" x14ac:dyDescent="0.3">
      <c r="A61" s="370"/>
      <c r="B61" s="371"/>
      <c r="C61" s="371"/>
      <c r="D61" s="371"/>
      <c r="E61" s="371"/>
      <c r="F61" s="371"/>
      <c r="G61" s="371"/>
      <c r="H61" s="372"/>
      <c r="I61" s="353"/>
    </row>
    <row r="62" spans="1:9" x14ac:dyDescent="0.3">
      <c r="A62" s="373" t="s">
        <v>120</v>
      </c>
      <c r="B62" s="374"/>
      <c r="C62" s="374"/>
      <c r="D62" s="374"/>
      <c r="E62" s="374"/>
      <c r="F62" s="374"/>
      <c r="G62" s="374"/>
      <c r="H62" s="375"/>
      <c r="I62" s="353"/>
    </row>
    <row r="63" spans="1:9" x14ac:dyDescent="0.3">
      <c r="A63" s="370" t="s">
        <v>137</v>
      </c>
      <c r="B63" s="368">
        <f t="shared" ref="B63:H63" si="9">B7</f>
        <v>3380</v>
      </c>
      <c r="C63" s="368">
        <f t="shared" si="9"/>
        <v>3380</v>
      </c>
      <c r="D63" s="368">
        <f t="shared" si="9"/>
        <v>3380</v>
      </c>
      <c r="E63" s="368">
        <f t="shared" si="9"/>
        <v>9526.73</v>
      </c>
      <c r="F63" s="368">
        <f t="shared" si="9"/>
        <v>7682</v>
      </c>
      <c r="G63" s="368">
        <f t="shared" si="9"/>
        <v>3368</v>
      </c>
      <c r="H63" s="369">
        <f t="shared" si="9"/>
        <v>16190.350000000002</v>
      </c>
      <c r="I63" s="353"/>
    </row>
    <row r="64" spans="1:9" x14ac:dyDescent="0.3">
      <c r="A64" s="370" t="s">
        <v>138</v>
      </c>
      <c r="B64" s="368">
        <f t="shared" ref="B64:H64" si="10">B63/B60</f>
        <v>845</v>
      </c>
      <c r="C64" s="368">
        <f t="shared" si="10"/>
        <v>563.33333333333337</v>
      </c>
      <c r="D64" s="368">
        <f t="shared" si="10"/>
        <v>689.79591836734687</v>
      </c>
      <c r="E64" s="368">
        <f t="shared" si="10"/>
        <v>6671.379551820728</v>
      </c>
      <c r="F64" s="368">
        <f t="shared" si="10"/>
        <v>3778.6522380718152</v>
      </c>
      <c r="G64" s="368">
        <f t="shared" si="10"/>
        <v>1161.3793103448277</v>
      </c>
      <c r="H64" s="369">
        <f t="shared" si="10"/>
        <v>11002.175222624384</v>
      </c>
      <c r="I64" s="353"/>
    </row>
    <row r="65" spans="1:9" x14ac:dyDescent="0.3">
      <c r="A65" s="370"/>
      <c r="B65" s="368"/>
      <c r="C65" s="368"/>
      <c r="D65" s="368"/>
      <c r="E65" s="368"/>
      <c r="F65" s="368"/>
      <c r="G65" s="368"/>
      <c r="H65" s="369"/>
      <c r="I65" s="353"/>
    </row>
    <row r="66" spans="1:9" x14ac:dyDescent="0.3">
      <c r="A66" s="376" t="s">
        <v>139</v>
      </c>
      <c r="B66" s="374"/>
      <c r="C66" s="374"/>
      <c r="D66" s="374"/>
      <c r="E66" s="374"/>
      <c r="F66" s="374"/>
      <c r="G66" s="374"/>
      <c r="H66" s="375"/>
      <c r="I66" s="353"/>
    </row>
    <row r="67" spans="1:9" x14ac:dyDescent="0.3">
      <c r="A67" s="377" t="s">
        <v>140</v>
      </c>
      <c r="B67" s="368">
        <f>B27</f>
        <v>15646.151899585044</v>
      </c>
      <c r="C67" s="368">
        <f t="shared" ref="C67:H67" si="11">C27</f>
        <v>21752.689454517753</v>
      </c>
      <c r="D67" s="368">
        <f t="shared" si="11"/>
        <v>19571.905995130681</v>
      </c>
      <c r="E67" s="368">
        <f t="shared" si="11"/>
        <v>10595.19931547094</v>
      </c>
      <c r="F67" s="368">
        <f t="shared" si="11"/>
        <v>15395.524001437616</v>
      </c>
      <c r="G67" s="368">
        <f t="shared" si="11"/>
        <v>10377.80537871323</v>
      </c>
      <c r="H67" s="369">
        <f t="shared" si="11"/>
        <v>11110.27368287727</v>
      </c>
      <c r="I67" s="353"/>
    </row>
    <row r="68" spans="1:9" x14ac:dyDescent="0.3">
      <c r="A68" s="377" t="s">
        <v>141</v>
      </c>
      <c r="B68" s="368">
        <f>B67/B60</f>
        <v>3911.5379748962609</v>
      </c>
      <c r="C68" s="368">
        <f t="shared" ref="C68:H68" si="12">C67/C60</f>
        <v>3625.4482424196253</v>
      </c>
      <c r="D68" s="368">
        <f t="shared" si="12"/>
        <v>3994.266529618506</v>
      </c>
      <c r="E68" s="368">
        <f t="shared" si="12"/>
        <v>7419.6073637751679</v>
      </c>
      <c r="F68" s="368">
        <f t="shared" si="12"/>
        <v>7572.810625399713</v>
      </c>
      <c r="G68" s="368">
        <f t="shared" si="12"/>
        <v>3578.5535788666311</v>
      </c>
      <c r="H68" s="369">
        <f t="shared" si="12"/>
        <v>7550.0021821843293</v>
      </c>
      <c r="I68" s="353"/>
    </row>
    <row r="69" spans="1:9" x14ac:dyDescent="0.3">
      <c r="A69" s="370"/>
      <c r="B69" s="368"/>
      <c r="C69" s="368"/>
      <c r="D69" s="368"/>
      <c r="E69" s="368"/>
      <c r="F69" s="368"/>
      <c r="G69" s="368"/>
      <c r="H69" s="369"/>
      <c r="I69" s="353"/>
    </row>
    <row r="70" spans="1:9" x14ac:dyDescent="0.3">
      <c r="A70" s="370" t="s">
        <v>142</v>
      </c>
      <c r="B70" s="368">
        <f>B31</f>
        <v>22773.371899585043</v>
      </c>
      <c r="C70" s="368">
        <f t="shared" ref="C70:H70" si="13">C31</f>
        <v>29081.29945451775</v>
      </c>
      <c r="D70" s="368">
        <f t="shared" si="13"/>
        <v>27230.065995130681</v>
      </c>
      <c r="E70" s="368">
        <f t="shared" si="13"/>
        <v>16931.47931547094</v>
      </c>
      <c r="F70" s="368">
        <f t="shared" si="13"/>
        <v>22180.394001437617</v>
      </c>
      <c r="G70" s="368">
        <f t="shared" si="13"/>
        <v>17296.045378713228</v>
      </c>
      <c r="H70" s="369">
        <f t="shared" si="13"/>
        <v>18990.74368287727</v>
      </c>
      <c r="I70" s="353"/>
    </row>
    <row r="71" spans="1:9" x14ac:dyDescent="0.3">
      <c r="A71" s="370" t="s">
        <v>143</v>
      </c>
      <c r="B71" s="368">
        <f>B70/B60</f>
        <v>5693.3429748962608</v>
      </c>
      <c r="C71" s="368">
        <f t="shared" ref="C71:H71" si="14">C70/C60</f>
        <v>4846.8832424196253</v>
      </c>
      <c r="D71" s="368">
        <f t="shared" si="14"/>
        <v>5557.1563255368728</v>
      </c>
      <c r="E71" s="368">
        <f t="shared" si="14"/>
        <v>11856.778232122508</v>
      </c>
      <c r="F71" s="368">
        <f t="shared" si="14"/>
        <v>10910.179046452346</v>
      </c>
      <c r="G71" s="368">
        <f t="shared" si="14"/>
        <v>5964.1535788666306</v>
      </c>
      <c r="H71" s="369">
        <f t="shared" si="14"/>
        <v>12905.186707326453</v>
      </c>
      <c r="I71" s="353"/>
    </row>
    <row r="72" spans="1:9" x14ac:dyDescent="0.3">
      <c r="A72" s="370"/>
      <c r="B72" s="368"/>
      <c r="C72" s="368"/>
      <c r="D72" s="368"/>
      <c r="E72" s="368"/>
      <c r="F72" s="368"/>
      <c r="G72" s="368"/>
      <c r="H72" s="369"/>
      <c r="I72" s="353"/>
    </row>
    <row r="73" spans="1:9" x14ac:dyDescent="0.3">
      <c r="A73" s="378" t="s">
        <v>144</v>
      </c>
      <c r="B73" s="379"/>
      <c r="C73" s="379"/>
      <c r="D73" s="379"/>
      <c r="E73" s="379"/>
      <c r="F73" s="379"/>
      <c r="G73" s="379"/>
      <c r="H73" s="380"/>
      <c r="I73" s="353"/>
    </row>
    <row r="74" spans="1:9" x14ac:dyDescent="0.3">
      <c r="A74" s="377" t="s">
        <v>145</v>
      </c>
      <c r="B74" s="368">
        <f>B33</f>
        <v>-2126.1518995850438</v>
      </c>
      <c r="C74" s="368">
        <f t="shared" ref="C74:H74" si="15">C33</f>
        <v>-1472.6894545177529</v>
      </c>
      <c r="D74" s="368">
        <f t="shared" si="15"/>
        <v>-3009.9059951306808</v>
      </c>
      <c r="E74" s="368">
        <f t="shared" si="15"/>
        <v>3008.9711245290582</v>
      </c>
      <c r="F74" s="368">
        <f t="shared" si="15"/>
        <v>221.98199856238352</v>
      </c>
      <c r="G74" s="368">
        <f t="shared" si="15"/>
        <v>-610.6053787132314</v>
      </c>
      <c r="H74" s="369">
        <f t="shared" si="15"/>
        <v>12714.781619229974</v>
      </c>
      <c r="I74" s="353"/>
    </row>
    <row r="75" spans="1:9" x14ac:dyDescent="0.3">
      <c r="A75" s="377" t="s">
        <v>146</v>
      </c>
      <c r="B75" s="368">
        <f>B74/B60</f>
        <v>-531.53797489626095</v>
      </c>
      <c r="C75" s="368">
        <f t="shared" ref="C75:H75" si="16">C74/C60</f>
        <v>-245.44824241962547</v>
      </c>
      <c r="D75" s="368">
        <f t="shared" si="16"/>
        <v>-614.2665296185063</v>
      </c>
      <c r="E75" s="368">
        <f t="shared" si="16"/>
        <v>2107.1226362248308</v>
      </c>
      <c r="F75" s="368">
        <f t="shared" si="16"/>
        <v>109.18937460028702</v>
      </c>
      <c r="G75" s="368">
        <f t="shared" si="16"/>
        <v>-210.55357886663151</v>
      </c>
      <c r="H75" s="369">
        <f t="shared" si="16"/>
        <v>8640.3478178156711</v>
      </c>
      <c r="I75" s="353"/>
    </row>
    <row r="76" spans="1:9" x14ac:dyDescent="0.3">
      <c r="A76" s="370"/>
      <c r="B76" s="368"/>
      <c r="C76" s="368"/>
      <c r="D76" s="368"/>
      <c r="E76" s="368"/>
      <c r="F76" s="368"/>
      <c r="G76" s="368"/>
      <c r="H76" s="369"/>
      <c r="I76" s="353"/>
    </row>
    <row r="77" spans="1:9" x14ac:dyDescent="0.3">
      <c r="A77" s="370" t="s">
        <v>147</v>
      </c>
      <c r="B77" s="368">
        <f>B34</f>
        <v>-9253.3718995850431</v>
      </c>
      <c r="C77" s="368">
        <f t="shared" ref="C77:H77" si="17">C34</f>
        <v>-8801.2994545177498</v>
      </c>
      <c r="D77" s="368">
        <f t="shared" si="17"/>
        <v>-10668.065995130681</v>
      </c>
      <c r="E77" s="368">
        <f t="shared" si="17"/>
        <v>-3327.3088754709424</v>
      </c>
      <c r="F77" s="368">
        <f t="shared" si="17"/>
        <v>-6562.8880014376173</v>
      </c>
      <c r="G77" s="368">
        <f t="shared" si="17"/>
        <v>-7528.8453787132294</v>
      </c>
      <c r="H77" s="369">
        <f t="shared" si="17"/>
        <v>4834.3116192299749</v>
      </c>
      <c r="I77" s="353"/>
    </row>
    <row r="78" spans="1:9" x14ac:dyDescent="0.3">
      <c r="A78" s="370" t="s">
        <v>148</v>
      </c>
      <c r="B78" s="368">
        <f t="shared" ref="B78:H78" si="18">B77/B4</f>
        <v>-2313.3429748962608</v>
      </c>
      <c r="C78" s="368">
        <f t="shared" si="18"/>
        <v>-1466.883242419625</v>
      </c>
      <c r="D78" s="368">
        <f t="shared" si="18"/>
        <v>-2177.1563255368733</v>
      </c>
      <c r="E78" s="368">
        <f t="shared" si="18"/>
        <v>-2330.048232122509</v>
      </c>
      <c r="F78" s="368">
        <f t="shared" si="18"/>
        <v>-3228.1790464523451</v>
      </c>
      <c r="G78" s="368">
        <f t="shared" si="18"/>
        <v>-2596.1535788666311</v>
      </c>
      <c r="H78" s="369">
        <f t="shared" si="18"/>
        <v>3285.1632926735488</v>
      </c>
      <c r="I78" s="353"/>
    </row>
    <row r="79" spans="1:9" x14ac:dyDescent="0.3">
      <c r="A79" s="370"/>
      <c r="B79" s="368"/>
      <c r="C79" s="368"/>
      <c r="D79" s="368"/>
      <c r="E79" s="368"/>
      <c r="F79" s="368"/>
      <c r="G79" s="368"/>
      <c r="H79" s="369"/>
      <c r="I79" s="353"/>
    </row>
    <row r="80" spans="1:9" x14ac:dyDescent="0.3">
      <c r="A80" s="381" t="s">
        <v>149</v>
      </c>
      <c r="B80" s="379"/>
      <c r="C80" s="379"/>
      <c r="D80" s="379"/>
      <c r="E80" s="379"/>
      <c r="F80" s="379"/>
      <c r="G80" s="379"/>
      <c r="H80" s="380"/>
      <c r="I80" s="353"/>
    </row>
    <row r="81" spans="1:9" ht="15" thickBot="1" x14ac:dyDescent="0.35">
      <c r="A81" s="377" t="s">
        <v>150</v>
      </c>
      <c r="B81" s="361">
        <f>B67/B63</f>
        <v>4.6290390235458707</v>
      </c>
      <c r="C81" s="361">
        <f t="shared" ref="C81:H81" si="19">C67/C63</f>
        <v>6.4357069392064359</v>
      </c>
      <c r="D81" s="361">
        <f t="shared" si="19"/>
        <v>5.7905047322871841</v>
      </c>
      <c r="E81" s="361">
        <f t="shared" si="19"/>
        <v>1.1121548858287094</v>
      </c>
      <c r="F81" s="361">
        <f t="shared" si="19"/>
        <v>2.0041036190363988</v>
      </c>
      <c r="G81" s="361">
        <f t="shared" si="19"/>
        <v>3.0812961338222182</v>
      </c>
      <c r="H81" s="382">
        <f t="shared" si="19"/>
        <v>0.68622813483817635</v>
      </c>
      <c r="I81" s="353"/>
    </row>
    <row r="82" spans="1:9" ht="15.6" thickTop="1" thickBot="1" x14ac:dyDescent="0.35">
      <c r="A82" s="377" t="s">
        <v>151</v>
      </c>
      <c r="B82" s="362">
        <f t="shared" ref="B82:H82" si="20">B68+B6</f>
        <v>4331.5379748962605</v>
      </c>
      <c r="C82" s="363">
        <f t="shared" si="20"/>
        <v>4045.4482424196253</v>
      </c>
      <c r="D82" s="363">
        <f t="shared" si="20"/>
        <v>4414.266529618506</v>
      </c>
      <c r="E82" s="363">
        <f t="shared" si="20"/>
        <v>7892.8773637751674</v>
      </c>
      <c r="F82" s="363">
        <f t="shared" si="20"/>
        <v>7790.810625399713</v>
      </c>
      <c r="G82" s="363">
        <f t="shared" si="20"/>
        <v>3710.5535788666311</v>
      </c>
      <c r="H82" s="383">
        <f t="shared" si="20"/>
        <v>7613.0021821843293</v>
      </c>
      <c r="I82" s="353"/>
    </row>
    <row r="83" spans="1:9" ht="15" thickTop="1" x14ac:dyDescent="0.3">
      <c r="A83" s="381" t="s">
        <v>152</v>
      </c>
      <c r="B83" s="379"/>
      <c r="C83" s="379"/>
      <c r="D83" s="379"/>
      <c r="E83" s="379"/>
      <c r="F83" s="379"/>
      <c r="G83" s="379"/>
      <c r="H83" s="380"/>
      <c r="I83" s="353"/>
    </row>
    <row r="84" spans="1:9" ht="15" thickBot="1" x14ac:dyDescent="0.35">
      <c r="A84" s="377" t="s">
        <v>150</v>
      </c>
      <c r="B84" s="361">
        <f>B70/B63</f>
        <v>6.7376839939600721</v>
      </c>
      <c r="C84" s="361">
        <f t="shared" ref="C84:H84" si="21">C70/C63</f>
        <v>8.6039347498573218</v>
      </c>
      <c r="D84" s="361">
        <f t="shared" si="21"/>
        <v>8.056232542938071</v>
      </c>
      <c r="E84" s="361">
        <f t="shared" si="21"/>
        <v>1.7772603312438728</v>
      </c>
      <c r="F84" s="361">
        <f t="shared" si="21"/>
        <v>2.8873202292941444</v>
      </c>
      <c r="G84" s="361">
        <f t="shared" si="21"/>
        <v>5.1354053974801745</v>
      </c>
      <c r="H84" s="382">
        <f t="shared" si="21"/>
        <v>1.172966840301616</v>
      </c>
      <c r="I84" s="353"/>
    </row>
    <row r="85" spans="1:9" ht="15.6" thickTop="1" thickBot="1" x14ac:dyDescent="0.35">
      <c r="A85" s="384" t="s">
        <v>151</v>
      </c>
      <c r="B85" s="385">
        <f t="shared" ref="B85:H85" si="22">B71+B6</f>
        <v>6113.3429748962608</v>
      </c>
      <c r="C85" s="386">
        <f t="shared" si="22"/>
        <v>5266.8832424196253</v>
      </c>
      <c r="D85" s="386">
        <f t="shared" si="22"/>
        <v>5977.1563255368728</v>
      </c>
      <c r="E85" s="386">
        <f t="shared" si="22"/>
        <v>12330.048232122508</v>
      </c>
      <c r="F85" s="386">
        <f t="shared" si="22"/>
        <v>11128.179046452346</v>
      </c>
      <c r="G85" s="386">
        <f t="shared" si="22"/>
        <v>6096.1535788666306</v>
      </c>
      <c r="H85" s="387">
        <f t="shared" si="22"/>
        <v>12968.186707326453</v>
      </c>
      <c r="I85" s="353"/>
    </row>
  </sheetData>
  <mergeCells count="1">
    <mergeCell ref="A36:H36"/>
  </mergeCells>
  <conditionalFormatting sqref="B33:H35">
    <cfRule type="colorScale" priority="77">
      <colorScale>
        <cfvo type="min"/>
        <cfvo type="percentile" val="50"/>
        <cfvo type="max"/>
        <color rgb="FFF8696B"/>
        <color rgb="FFFFEB84"/>
        <color rgb="FF63BE7B"/>
      </colorScale>
    </cfRule>
  </conditionalFormatting>
  <conditionalFormatting sqref="E33:H35">
    <cfRule type="colorScale" priority="78">
      <colorScale>
        <cfvo type="min"/>
        <cfvo type="percentile" val="50"/>
        <cfvo type="max"/>
        <color rgb="FFF8696B"/>
        <color rgb="FFFFEB84"/>
        <color rgb="FF63BE7B"/>
      </colorScale>
    </cfRule>
  </conditionalFormatting>
  <conditionalFormatting sqref="E34:H34 B34:D35 B33:H33">
    <cfRule type="colorScale" priority="79">
      <colorScale>
        <cfvo type="min"/>
        <cfvo type="percentile" val="50"/>
        <cfvo type="max"/>
        <color rgb="FFF8696B"/>
        <color rgb="FFFFEB84"/>
        <color rgb="FF63BE7B"/>
      </colorScale>
    </cfRule>
  </conditionalFormatting>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13a0b348-8834-4d7c-b06d-697f5a4282a4" xsi:nil="true"/>
    <TaxCatchAll xmlns="95943543-aac6-4fde-8f8b-77a9ea0cd5ed" xsi:nil="true"/>
    <lcf76f155ced4ddcb4097134ff3c332f xmlns="13a0b348-8834-4d7c-b06d-697f5a4282a4">
      <Terms xmlns="http://schemas.microsoft.com/office/infopath/2007/PartnerControls"/>
    </lcf76f155ced4ddcb4097134ff3c332f>
    <FileType xmlns="13a0b348-8834-4d7c-b06d-697f5a4282a4">Budget</FileType>
    <Productionseason xmlns="13a0b348-8834-4d7c-b06d-697f5a4282a4">2026-2027</Productionseason>
    <CropType xmlns="13a0b348-8834-4d7c-b06d-697f5a4282a4">Summergrain</CropType>
    <Commodity xmlns="13a0b348-8834-4d7c-b06d-697f5a4282a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F34FFA60B85ED4788681866754E016A" ma:contentTypeVersion="16" ma:contentTypeDescription="Create a new document." ma:contentTypeScope="" ma:versionID="b77f188cd9bc58b62dcf211ad9302814">
  <xsd:schema xmlns:xsd="http://www.w3.org/2001/XMLSchema" xmlns:xs="http://www.w3.org/2001/XMLSchema" xmlns:p="http://schemas.microsoft.com/office/2006/metadata/properties" xmlns:ns2="13a0b348-8834-4d7c-b06d-697f5a4282a4" xmlns:ns3="95943543-aac6-4fde-8f8b-77a9ea0cd5ed" targetNamespace="http://schemas.microsoft.com/office/2006/metadata/properties" ma:root="true" ma:fieldsID="367b602f478b113fb50ea0fb44ea6cab" ns2:_="" ns3:_="">
    <xsd:import namespace="13a0b348-8834-4d7c-b06d-697f5a4282a4"/>
    <xsd:import namespace="95943543-aac6-4fde-8f8b-77a9ea0cd5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ocumentType"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Productionseason" minOccurs="0"/>
                <xsd:element ref="ns2:CropType" minOccurs="0"/>
                <xsd:element ref="ns2:FileType" minOccurs="0"/>
                <xsd:element ref="ns2:Commod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0b348-8834-4d7c-b06d-697f5a428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ocumentType" ma:index="11" nillable="true" ma:displayName="Document Type" ma:format="Dropdown" ma:internalName="DocumentType">
      <xsd:simpleType>
        <xsd:restriction base="dms:Choice">
          <xsd:enumeration value="CEC Data"/>
          <xsd:enumeration value="Choice 2"/>
          <xsd:enumeration value="Choice 3"/>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3362023-a8c1-4b5e-9a31-595cfc7316f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Productionseason" ma:index="20" nillable="true" ma:displayName="Production season" ma:format="Dropdown" ma:internalName="Productionseason">
      <xsd:simpleType>
        <xsd:restriction base="dms:Choice">
          <xsd:enumeration value="2026-2027"/>
          <xsd:enumeration value="2025-2026"/>
          <xsd:enumeration value="2024-2025"/>
        </xsd:restriction>
      </xsd:simpleType>
    </xsd:element>
    <xsd:element name="CropType" ma:index="21" nillable="true" ma:displayName="Crop Type" ma:format="Dropdown" ma:internalName="CropType">
      <xsd:simpleType>
        <xsd:restriction base="dms:Choice">
          <xsd:enumeration value="Summergrain"/>
          <xsd:enumeration value="Wintercereal"/>
          <xsd:enumeration value="Choice 3"/>
        </xsd:restriction>
      </xsd:simpleType>
    </xsd:element>
    <xsd:element name="FileType" ma:index="22" nillable="true" ma:displayName="File Type" ma:format="Dropdown" ma:internalName="FileType">
      <xsd:simpleType>
        <xsd:restriction base="dms:Choice">
          <xsd:enumeration value="Budget"/>
          <xsd:enumeration value="Model"/>
        </xsd:restriction>
      </xsd:simpleType>
    </xsd:element>
    <xsd:element name="Commodity" ma:index="23" nillable="true" ma:displayName="Commodity" ma:format="Dropdown" ma:internalName="Commodity">
      <xsd:simpleType>
        <xsd:union memberTypes="dms:Text">
          <xsd:simpleType>
            <xsd:restriction base="dms:Choice">
              <xsd:enumeration value="Soybeans"/>
              <xsd:enumeration value="Maize"/>
              <xsd:enumeration value="Sunflower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943543-aac6-4fde-8f8b-77a9ea0cd5e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c573613-ccca-48a7-99d6-f425781793e5}" ma:internalName="TaxCatchAll" ma:showField="CatchAllData" ma:web="95943543-aac6-4fde-8f8b-77a9ea0cd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C8E82B7-1571-46C7-A951-94BE145F8682}">
  <ds:schemaRefs>
    <ds:schemaRef ds:uri="http://schemas.microsoft.com/office/2006/metadata/properties"/>
    <ds:schemaRef ds:uri="http://schemas.microsoft.com/office/infopath/2007/PartnerControls"/>
    <ds:schemaRef ds:uri="13a0b348-8834-4d7c-b06d-697f5a4282a4"/>
    <ds:schemaRef ds:uri="95943543-aac6-4fde-8f8b-77a9ea0cd5ed"/>
  </ds:schemaRefs>
</ds:datastoreItem>
</file>

<file path=customXml/itemProps2.xml><?xml version="1.0" encoding="utf-8"?>
<ds:datastoreItem xmlns:ds="http://schemas.openxmlformats.org/officeDocument/2006/customXml" ds:itemID="{2C1FEC93-6801-41ED-8C47-7DDA3A68BD3C}">
  <ds:schemaRefs>
    <ds:schemaRef ds:uri="http://schemas.microsoft.com/sharepoint/v3/contenttype/forms"/>
  </ds:schemaRefs>
</ds:datastoreItem>
</file>

<file path=customXml/itemProps3.xml><?xml version="1.0" encoding="utf-8"?>
<ds:datastoreItem xmlns:ds="http://schemas.openxmlformats.org/officeDocument/2006/customXml" ds:itemID="{C9B340C8-F0FE-4002-AB2A-6C1CB2EA2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0b348-8834-4d7c-b06d-697f5a4282a4"/>
    <ds:schemaRef ds:uri="95943543-aac6-4fde-8f8b-77a9ea0cd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A27C4FE-94EC-4313-BE22-5577F9A47DB4}">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Pryse + Sensatiwiteitsanali</vt:lpstr>
      <vt:lpstr>W-RR mielies Laer opbrengs </vt:lpstr>
      <vt:lpstr>W-RR mielies Hoer opbrengs  </vt:lpstr>
      <vt:lpstr>W-BT Mielies </vt:lpstr>
      <vt:lpstr>Sonneblom</vt:lpstr>
      <vt:lpstr>Graansorghum</vt:lpstr>
      <vt:lpstr>Grondbone</vt:lpstr>
      <vt:lpstr>Sojabone</vt:lpstr>
      <vt:lpstr>Crop Comparison</vt:lpstr>
      <vt:lpstr>Grafieke</vt:lpstr>
      <vt:lpstr>BTopbrengspeil</vt:lpstr>
      <vt:lpstr>Graansorghum!Print_Area</vt:lpstr>
      <vt:lpstr>Grondbone!Print_Area</vt:lpstr>
      <vt:lpstr>Sojabone!Print_Area</vt:lpstr>
      <vt:lpstr>Sonneblom!Print_Area</vt:lpstr>
      <vt:lpstr>'W-BT Mielies '!Print_Area</vt:lpstr>
      <vt:lpstr>'W-RR mielies Hoer opbrengs  '!Print_Area</vt:lpstr>
      <vt:lpstr>'W-RR mielies Laer opbrengs '!Print_Area</vt:lpstr>
      <vt:lpstr>RRHpbrengspeil</vt:lpstr>
      <vt:lpstr>RRLopbrengspeil</vt:lpstr>
      <vt:lpstr>RRopbrengspeil</vt:lpstr>
      <vt:lpstr>Sojaopbrengspeil</vt:lpstr>
      <vt:lpstr>Sonopbrengspeil</vt:lpstr>
      <vt:lpstr>Sorgopbrengspeil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Private</dc:creator>
  <cp:keywords/>
  <dc:description/>
  <cp:lastModifiedBy>Cathrine Mathekga</cp:lastModifiedBy>
  <cp:revision/>
  <dcterms:created xsi:type="dcterms:W3CDTF">2007-01-09T12:07:13Z</dcterms:created>
  <dcterms:modified xsi:type="dcterms:W3CDTF">2026-08-04T12:42:06Z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Petru Fourie</vt:lpwstr>
  </property>
  <property fmtid="{D5CDD505-2E9C-101B-9397-08002B2CF9AE}" pid="3" name="Order">
    <vt:lpwstr>16553000.0000000</vt:lpwstr>
  </property>
  <property fmtid="{D5CDD505-2E9C-101B-9397-08002B2CF9AE}" pid="4" name="display_urn:schemas-microsoft-com:office:office#Author">
    <vt:lpwstr>Petru Fourie</vt:lpwstr>
  </property>
  <property fmtid="{D5CDD505-2E9C-101B-9397-08002B2CF9AE}" pid="5" name="MediaServiceImageTags">
    <vt:lpwstr/>
  </property>
  <property fmtid="{D5CDD505-2E9C-101B-9397-08002B2CF9AE}" pid="6" name="ContentTypeId">
    <vt:lpwstr>0x010100DF34FFA60B85ED4788681866754E016A</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ies>
</file>