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8.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grainsa2019.sharepoint.com/sites/ProductionEconomics/Produksie Begrotings_Production Budgets/"/>
    </mc:Choice>
  </mc:AlternateContent>
  <xr:revisionPtr revIDLastSave="1363" documentId="13_ncr:1_{5710D3D1-AB4C-42D0-B3A2-45F52ADA4962}" xr6:coauthVersionLast="47" xr6:coauthVersionMax="47" xr10:uidLastSave="{1CCDD4DD-35B4-4506-B99B-69CF089427E2}"/>
  <bookViews>
    <workbookView xWindow="-108" yWindow="-108" windowWidth="23256" windowHeight="12456" tabRatio="919" xr2:uid="{00000000-000D-0000-FFFF-FFFF00000000}"/>
  </bookViews>
  <sheets>
    <sheet name="Pryse + Sensatiwiteitsanalise" sheetId="38" r:id="rId1"/>
    <sheet name="W-Mielie " sheetId="2" r:id="rId2"/>
    <sheet name="W-BT Mielies" sheetId="22" r:id="rId3"/>
    <sheet name="Bes-mielies" sheetId="10" r:id="rId4"/>
    <sheet name="Sonneblom" sheetId="20" r:id="rId5"/>
    <sheet name="Sojabone" sheetId="34" r:id="rId6"/>
    <sheet name="Crop Comparison" sheetId="39" r:id="rId7"/>
    <sheet name="Grafieke" sheetId="40" r:id="rId8"/>
  </sheets>
  <externalReferences>
    <externalReference r:id="rId9"/>
    <externalReference r:id="rId10"/>
    <externalReference r:id="rId11"/>
    <externalReference r:id="rId12"/>
  </externalReferences>
  <definedNames>
    <definedName name="BTopbrengspeil">'[1]W-BT Mielies'!$K$9:$K$14</definedName>
    <definedName name="Cultivar">[2]Seedprices!$A$3:$A$49</definedName>
    <definedName name="Obrengspeil">'W-BT Mielies'!$J$9:$J$14</definedName>
    <definedName name="Price80DP">[2]Seedprices!$B$3:$B$49</definedName>
    <definedName name="_xlnm.Print_Area" localSheetId="3">'Bes-mielies'!$A$1:$E$47</definedName>
    <definedName name="_xlnm.Print_Area" localSheetId="5">Sojabone!$A$1:$G$43</definedName>
    <definedName name="_xlnm.Print_Area" localSheetId="4">Sonneblom!$A$1:$H$43</definedName>
    <definedName name="_xlnm.Print_Area" localSheetId="2">'W-BT Mielies'!$A$1:$H$47</definedName>
    <definedName name="_xlnm.Print_Area" localSheetId="1">'W-Mielie '!$A$1:$I$47</definedName>
    <definedName name="RRLopbrengspeil">'[3]W-RR mielies Laer opbrengs '!$M$9:$M$14</definedName>
    <definedName name="Sojaopbrengspeil" localSheetId="7">[1]Sojabone!$K$9:$K$13</definedName>
    <definedName name="Sojaopbrengspeil">Sojabone!$I$9:$I$12</definedName>
    <definedName name="Sonopbrengspeil" localSheetId="7">[1]Sonneblom!$K$9:$K$13</definedName>
    <definedName name="Sonopbrengspeil">Sonneblom!#REF!</definedName>
    <definedName name="Sorgopbrengspeil">[1]Graansorghum!$K$9:$K$13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9" l="1"/>
  <c r="F13" i="39"/>
  <c r="F14" i="39"/>
  <c r="F15" i="39"/>
  <c r="F16" i="39"/>
  <c r="F17" i="39"/>
  <c r="F19" i="39"/>
  <c r="F20" i="39"/>
  <c r="F22" i="39"/>
  <c r="F23" i="39"/>
  <c r="F24" i="39"/>
  <c r="F27" i="39"/>
  <c r="F4" i="39"/>
  <c r="F11" i="39"/>
  <c r="E12" i="39"/>
  <c r="E13" i="39"/>
  <c r="E14" i="39"/>
  <c r="E15" i="39"/>
  <c r="E16" i="39"/>
  <c r="E17" i="39"/>
  <c r="E20" i="39"/>
  <c r="E22" i="39"/>
  <c r="E23" i="39"/>
  <c r="E24" i="39"/>
  <c r="E27" i="39"/>
  <c r="E11" i="39"/>
  <c r="D12" i="39"/>
  <c r="D13" i="39"/>
  <c r="D14" i="39"/>
  <c r="D15" i="39"/>
  <c r="D16" i="39"/>
  <c r="D17" i="39"/>
  <c r="D20" i="39"/>
  <c r="D22" i="39"/>
  <c r="D23" i="39"/>
  <c r="D24" i="39"/>
  <c r="D27" i="39"/>
  <c r="D11" i="39"/>
  <c r="C12" i="39"/>
  <c r="C13" i="39"/>
  <c r="C14" i="39"/>
  <c r="C15" i="39"/>
  <c r="C16" i="39"/>
  <c r="C17" i="39"/>
  <c r="C20" i="39"/>
  <c r="C22" i="39"/>
  <c r="C23" i="39"/>
  <c r="C24" i="39"/>
  <c r="C27" i="39"/>
  <c r="C11" i="39"/>
  <c r="E26" i="20"/>
  <c r="E30" i="20" s="1"/>
  <c r="F26" i="20"/>
  <c r="G26" i="20"/>
  <c r="H26" i="20"/>
  <c r="D26" i="20"/>
  <c r="D30" i="20" s="1"/>
  <c r="D32" i="20" s="1"/>
  <c r="B12" i="39"/>
  <c r="B13" i="39"/>
  <c r="B14" i="39"/>
  <c r="B15" i="39"/>
  <c r="B16" i="39"/>
  <c r="B17" i="39"/>
  <c r="B20" i="39"/>
  <c r="B22" i="39"/>
  <c r="B23" i="39"/>
  <c r="B24" i="39"/>
  <c r="B27" i="39"/>
  <c r="B11" i="39"/>
  <c r="A12" i="39"/>
  <c r="A13" i="39"/>
  <c r="A14" i="39"/>
  <c r="A15" i="39"/>
  <c r="A16" i="39"/>
  <c r="A17" i="39"/>
  <c r="A18" i="39"/>
  <c r="A19" i="39"/>
  <c r="A20" i="39"/>
  <c r="A21" i="39"/>
  <c r="A22" i="39"/>
  <c r="A23" i="39"/>
  <c r="A24" i="39"/>
  <c r="A25" i="39"/>
  <c r="A26" i="39"/>
  <c r="A27" i="39"/>
  <c r="A11" i="39"/>
  <c r="C26" i="10"/>
  <c r="D30" i="2"/>
  <c r="D37" i="2"/>
  <c r="D32" i="2"/>
  <c r="D36" i="2" s="1"/>
  <c r="D26" i="2"/>
  <c r="A10" i="20"/>
  <c r="A10" i="34" s="1"/>
  <c r="A10" i="10" s="1"/>
  <c r="A11" i="20"/>
  <c r="A11" i="34" s="1"/>
  <c r="A11" i="10" s="1"/>
  <c r="A12" i="20"/>
  <c r="A12" i="34" s="1"/>
  <c r="A12" i="10" s="1"/>
  <c r="A21" i="20"/>
  <c r="A21" i="34" s="1"/>
  <c r="A21" i="10" s="1"/>
  <c r="A22" i="20"/>
  <c r="A22" i="34" s="1"/>
  <c r="A22" i="10" s="1"/>
  <c r="A23" i="20"/>
  <c r="A23" i="34" s="1"/>
  <c r="A23" i="10" s="1"/>
  <c r="A24" i="20"/>
  <c r="A24" i="34" s="1"/>
  <c r="A24" i="10" s="1"/>
  <c r="A25" i="20"/>
  <c r="A25" i="34" s="1"/>
  <c r="A25" i="10" s="1"/>
  <c r="A10" i="22"/>
  <c r="A11" i="22"/>
  <c r="A12" i="22"/>
  <c r="A13" i="22"/>
  <c r="A13" i="20" s="1"/>
  <c r="A13" i="34" s="1"/>
  <c r="A13" i="10" s="1"/>
  <c r="A14" i="22"/>
  <c r="A14" i="20" s="1"/>
  <c r="A14" i="34" s="1"/>
  <c r="A14" i="10" s="1"/>
  <c r="A15" i="22"/>
  <c r="A15" i="20" s="1"/>
  <c r="A15" i="34" s="1"/>
  <c r="A15" i="10" s="1"/>
  <c r="A16" i="22"/>
  <c r="A16" i="20" s="1"/>
  <c r="A16" i="34" s="1"/>
  <c r="A16" i="10" s="1"/>
  <c r="A17" i="22"/>
  <c r="A17" i="20" s="1"/>
  <c r="A17" i="34" s="1"/>
  <c r="A17" i="10" s="1"/>
  <c r="A18" i="22"/>
  <c r="A18" i="20" s="1"/>
  <c r="A18" i="34" s="1"/>
  <c r="A18" i="10" s="1"/>
  <c r="A19" i="22"/>
  <c r="A19" i="20" s="1"/>
  <c r="A19" i="34" s="1"/>
  <c r="A19" i="10" s="1"/>
  <c r="A20" i="22"/>
  <c r="A20" i="20" s="1"/>
  <c r="A20" i="34" s="1"/>
  <c r="A20" i="10" s="1"/>
  <c r="A21" i="22"/>
  <c r="A22" i="22"/>
  <c r="A23" i="22"/>
  <c r="A24" i="22"/>
  <c r="A25" i="22"/>
  <c r="A9" i="22"/>
  <c r="A9" i="20" s="1"/>
  <c r="A9" i="34" s="1"/>
  <c r="A9" i="10" s="1"/>
  <c r="D28" i="39" l="1"/>
  <c r="C28" i="39"/>
  <c r="D4" i="39" l="1"/>
  <c r="B30" i="39"/>
  <c r="E4" i="39"/>
  <c r="C4" i="39"/>
  <c r="B4" i="39"/>
  <c r="E28" i="39" l="1"/>
  <c r="B28" i="39"/>
  <c r="B32" i="39" l="1"/>
  <c r="E26" i="2" l="1"/>
  <c r="E30" i="2" s="1"/>
  <c r="F26" i="2"/>
  <c r="F30" i="2" s="1"/>
  <c r="G26" i="2"/>
  <c r="G30" i="2" s="1"/>
  <c r="H26" i="2"/>
  <c r="H30" i="2" s="1"/>
  <c r="I26" i="2"/>
  <c r="I30" i="2" s="1"/>
  <c r="D34" i="10"/>
  <c r="E34" i="10"/>
  <c r="C34" i="10"/>
  <c r="D26" i="10"/>
  <c r="E26" i="10"/>
  <c r="C30" i="10"/>
  <c r="C32" i="10" s="1"/>
  <c r="E34" i="34"/>
  <c r="F34" i="34"/>
  <c r="G34" i="34"/>
  <c r="D34" i="34"/>
  <c r="D26" i="34"/>
  <c r="D30" i="34" s="1"/>
  <c r="D32" i="34" s="1"/>
  <c r="D36" i="34" s="1"/>
  <c r="D34" i="22"/>
  <c r="E34" i="22"/>
  <c r="F34" i="22"/>
  <c r="G34" i="22"/>
  <c r="H34" i="22"/>
  <c r="C34" i="22"/>
  <c r="E34" i="2"/>
  <c r="F34" i="2"/>
  <c r="G34" i="2"/>
  <c r="H34" i="2"/>
  <c r="I34" i="2"/>
  <c r="D34" i="2"/>
  <c r="D26" i="22" l="1"/>
  <c r="D30" i="22" s="1"/>
  <c r="D32" i="22" s="1"/>
  <c r="E26" i="22"/>
  <c r="E30" i="22" s="1"/>
  <c r="E32" i="22" s="1"/>
  <c r="F26" i="22"/>
  <c r="F30" i="22" s="1"/>
  <c r="F32" i="22" s="1"/>
  <c r="G26" i="22"/>
  <c r="G30" i="22" s="1"/>
  <c r="G32" i="22" s="1"/>
  <c r="H26" i="22"/>
  <c r="H30" i="22" s="1"/>
  <c r="H32" i="22" s="1"/>
  <c r="C26" i="22"/>
  <c r="C30" i="22" s="1"/>
  <c r="C32" i="22" s="1"/>
  <c r="C36" i="22" s="1"/>
  <c r="I32" i="2"/>
  <c r="E32" i="2"/>
  <c r="F32" i="2"/>
  <c r="G32" i="2"/>
  <c r="H32" i="2"/>
  <c r="E5" i="39" l="1"/>
  <c r="D5" i="39"/>
  <c r="E29" i="38"/>
  <c r="D30" i="39"/>
  <c r="B21" i="40" s="1"/>
  <c r="B25" i="38" l="1"/>
  <c r="D32" i="39" l="1"/>
  <c r="B20" i="40"/>
  <c r="B24" i="38"/>
  <c r="B38" i="38"/>
  <c r="F26" i="34" l="1"/>
  <c r="F30" i="34" s="1"/>
  <c r="F32" i="34" s="1"/>
  <c r="G26" i="34"/>
  <c r="G30" i="34" s="1"/>
  <c r="G32" i="34" s="1"/>
  <c r="E26" i="34"/>
  <c r="E30" i="34" s="1"/>
  <c r="E32" i="34" s="1"/>
  <c r="L9" i="22"/>
  <c r="E30" i="39"/>
  <c r="B38" i="40" s="1"/>
  <c r="F61" i="39"/>
  <c r="E61" i="39"/>
  <c r="D61" i="39"/>
  <c r="C61" i="39"/>
  <c r="B61" i="39"/>
  <c r="E6" i="39"/>
  <c r="E60" i="39"/>
  <c r="D6" i="39"/>
  <c r="B6" i="39"/>
  <c r="B5" i="39"/>
  <c r="F2" i="39"/>
  <c r="F59" i="39" s="1"/>
  <c r="E2" i="39"/>
  <c r="E59" i="39" s="1"/>
  <c r="D2" i="39"/>
  <c r="D59" i="39" s="1"/>
  <c r="C2" i="39"/>
  <c r="C59" i="39" s="1"/>
  <c r="B2" i="39"/>
  <c r="B59" i="39" s="1"/>
  <c r="K10" i="34"/>
  <c r="J13" i="34"/>
  <c r="I13" i="34"/>
  <c r="I12" i="34"/>
  <c r="I11" i="34"/>
  <c r="I10" i="34"/>
  <c r="K9" i="34"/>
  <c r="I9" i="34"/>
  <c r="J14" i="22"/>
  <c r="J13" i="22"/>
  <c r="J12" i="22"/>
  <c r="J11" i="22"/>
  <c r="J10" i="22"/>
  <c r="J9" i="22"/>
  <c r="D37" i="34"/>
  <c r="F37" i="34" s="1"/>
  <c r="D37" i="20"/>
  <c r="E37" i="20" s="1"/>
  <c r="D34" i="20"/>
  <c r="G34" i="20" s="1"/>
  <c r="E32" i="20"/>
  <c r="H30" i="20"/>
  <c r="H32" i="20" s="1"/>
  <c r="K12" i="22"/>
  <c r="K14" i="22"/>
  <c r="C37" i="22"/>
  <c r="H37" i="22" s="1"/>
  <c r="G37" i="2"/>
  <c r="C37" i="10"/>
  <c r="D37" i="10" s="1"/>
  <c r="D30" i="10"/>
  <c r="D32" i="10" s="1"/>
  <c r="E30" i="10"/>
  <c r="E32" i="10" s="1"/>
  <c r="B44" i="38"/>
  <c r="B43" i="38"/>
  <c r="J38" i="38" s="1"/>
  <c r="E42" i="38"/>
  <c r="B31" i="38"/>
  <c r="B18" i="38"/>
  <c r="B30" i="38"/>
  <c r="J25" i="38" s="1"/>
  <c r="B17" i="38"/>
  <c r="E16" i="38"/>
  <c r="E15" i="38" s="1"/>
  <c r="E14" i="38" s="1"/>
  <c r="Q29" i="38"/>
  <c r="Q28" i="38" s="1"/>
  <c r="Q27" i="38" s="1"/>
  <c r="K13" i="34"/>
  <c r="Q16" i="38" l="1"/>
  <c r="Q17" i="38" s="1"/>
  <c r="Q18" i="38" s="1"/>
  <c r="E17" i="38"/>
  <c r="E18" i="38" s="1"/>
  <c r="G30" i="20"/>
  <c r="G32" i="20" s="1"/>
  <c r="F30" i="20"/>
  <c r="F32" i="20" s="1"/>
  <c r="J10" i="34"/>
  <c r="J9" i="34"/>
  <c r="J39" i="38"/>
  <c r="B19" i="38"/>
  <c r="E3" i="2" s="1"/>
  <c r="D60" i="39"/>
  <c r="D7" i="39"/>
  <c r="D8" i="39" s="1"/>
  <c r="E28" i="38"/>
  <c r="E27" i="38" s="1"/>
  <c r="C5" i="39"/>
  <c r="C60" i="39" s="1"/>
  <c r="B7" i="39"/>
  <c r="B8" i="39" s="1"/>
  <c r="J11" i="34"/>
  <c r="B37" i="38"/>
  <c r="J12" i="38"/>
  <c r="I12" i="38" s="1"/>
  <c r="H12" i="38" s="1"/>
  <c r="G12" i="38" s="1"/>
  <c r="E37" i="34"/>
  <c r="H37" i="20"/>
  <c r="G37" i="20"/>
  <c r="D36" i="20"/>
  <c r="E34" i="20"/>
  <c r="H34" i="20"/>
  <c r="F34" i="20"/>
  <c r="F37" i="20"/>
  <c r="D68" i="39"/>
  <c r="C30" i="39"/>
  <c r="K10" i="22"/>
  <c r="F36" i="2"/>
  <c r="F28" i="39"/>
  <c r="B45" i="38"/>
  <c r="E3" i="34" s="1"/>
  <c r="G37" i="34"/>
  <c r="B60" i="39"/>
  <c r="F5" i="39"/>
  <c r="F60" i="39" s="1"/>
  <c r="E37" i="10"/>
  <c r="F37" i="22"/>
  <c r="K9" i="22"/>
  <c r="E37" i="22"/>
  <c r="G37" i="22"/>
  <c r="E37" i="2"/>
  <c r="C6" i="39"/>
  <c r="E41" i="38"/>
  <c r="E40" i="38" s="1"/>
  <c r="E43" i="38"/>
  <c r="E44" i="38" s="1"/>
  <c r="Q42" i="38"/>
  <c r="B32" i="38"/>
  <c r="E3" i="20" s="1"/>
  <c r="Q30" i="38"/>
  <c r="Q31" i="38" s="1"/>
  <c r="E7" i="39"/>
  <c r="E8" i="39" s="1"/>
  <c r="B39" i="40" s="1"/>
  <c r="K11" i="22"/>
  <c r="K13" i="22"/>
  <c r="V38" i="38"/>
  <c r="I38" i="38"/>
  <c r="K38" i="38"/>
  <c r="J12" i="34"/>
  <c r="F6" i="39"/>
  <c r="H37" i="2"/>
  <c r="E30" i="38"/>
  <c r="E31" i="38" s="1"/>
  <c r="Q15" i="38"/>
  <c r="Q14" i="38" s="1"/>
  <c r="D37" i="22"/>
  <c r="F37" i="2"/>
  <c r="I37" i="2"/>
  <c r="B34" i="39" l="1"/>
  <c r="B35" i="39"/>
  <c r="D3" i="22"/>
  <c r="C39" i="22" s="1"/>
  <c r="D3" i="10"/>
  <c r="E39" i="10" s="1"/>
  <c r="E32" i="39"/>
  <c r="E71" i="39" s="1"/>
  <c r="E72" i="39" s="1"/>
  <c r="E86" i="39" s="1"/>
  <c r="B37" i="40"/>
  <c r="B41" i="40" s="1"/>
  <c r="C39" i="40" s="1"/>
  <c r="B4" i="40"/>
  <c r="B12" i="38"/>
  <c r="D34" i="39"/>
  <c r="D75" i="39" s="1"/>
  <c r="D76" i="39" s="1"/>
  <c r="D35" i="39"/>
  <c r="B22" i="40"/>
  <c r="H13" i="38"/>
  <c r="E68" i="39"/>
  <c r="E69" i="39" s="1"/>
  <c r="E83" i="39" s="1"/>
  <c r="C7" i="39"/>
  <c r="C8" i="39" s="1"/>
  <c r="B5" i="40" s="1"/>
  <c r="B3" i="40"/>
  <c r="D39" i="2"/>
  <c r="E36" i="20"/>
  <c r="I13" i="38"/>
  <c r="K12" i="38"/>
  <c r="L12" i="38" s="1"/>
  <c r="J13" i="38"/>
  <c r="V12" i="38"/>
  <c r="U12" i="38" s="1"/>
  <c r="F68" i="39"/>
  <c r="F69" i="39" s="1"/>
  <c r="F83" i="39" s="1"/>
  <c r="D69" i="39"/>
  <c r="D83" i="39" s="1"/>
  <c r="E36" i="34"/>
  <c r="F36" i="20"/>
  <c r="D36" i="22"/>
  <c r="L10" i="22"/>
  <c r="G36" i="2"/>
  <c r="E36" i="2"/>
  <c r="F7" i="39"/>
  <c r="F8" i="39" s="1"/>
  <c r="F39" i="2"/>
  <c r="F39" i="34"/>
  <c r="E40" i="34"/>
  <c r="D39" i="34"/>
  <c r="D64" i="39"/>
  <c r="D82" i="39" s="1"/>
  <c r="I39" i="2"/>
  <c r="G39" i="2"/>
  <c r="H39" i="2"/>
  <c r="G39" i="34"/>
  <c r="I25" i="38"/>
  <c r="K25" i="38"/>
  <c r="J26" i="38"/>
  <c r="V25" i="38"/>
  <c r="B64" i="39"/>
  <c r="H36" i="2"/>
  <c r="F12" i="38"/>
  <c r="F13" i="38" s="1"/>
  <c r="G13" i="38"/>
  <c r="H38" i="38"/>
  <c r="I39" i="38"/>
  <c r="E64" i="39"/>
  <c r="V39" i="38"/>
  <c r="W38" i="38"/>
  <c r="U38" i="38"/>
  <c r="K39" i="38"/>
  <c r="L38" i="38"/>
  <c r="Q43" i="38"/>
  <c r="Q44" i="38" s="1"/>
  <c r="Q41" i="38"/>
  <c r="Q40" i="38" s="1"/>
  <c r="L11" i="22"/>
  <c r="K11" i="34"/>
  <c r="B39" i="38" s="1"/>
  <c r="F36" i="34"/>
  <c r="H39" i="22" l="1"/>
  <c r="C64" i="39"/>
  <c r="B65" i="39"/>
  <c r="E39" i="22"/>
  <c r="G39" i="22"/>
  <c r="C39" i="10"/>
  <c r="F39" i="22"/>
  <c r="C40" i="22"/>
  <c r="D39" i="22"/>
  <c r="D39" i="10"/>
  <c r="F41" i="40"/>
  <c r="F36" i="40" s="1"/>
  <c r="E65" i="39"/>
  <c r="E82" i="39"/>
  <c r="C38" i="40"/>
  <c r="C37" i="40"/>
  <c r="B24" i="40"/>
  <c r="F24" i="40"/>
  <c r="B7" i="40"/>
  <c r="C5" i="40" s="1"/>
  <c r="F7" i="40"/>
  <c r="D71" i="39"/>
  <c r="D72" i="39" s="1"/>
  <c r="D86" i="39" s="1"/>
  <c r="D78" i="39"/>
  <c r="D79" i="39" s="1"/>
  <c r="C68" i="39"/>
  <c r="C69" i="39" s="1"/>
  <c r="C83" i="39" s="1"/>
  <c r="B11" i="38"/>
  <c r="W12" i="38"/>
  <c r="W13" i="38" s="1"/>
  <c r="F64" i="39"/>
  <c r="F65" i="39" s="1"/>
  <c r="F34" i="39"/>
  <c r="F75" i="39" s="1"/>
  <c r="F76" i="39" s="1"/>
  <c r="C32" i="39"/>
  <c r="C71" i="39" s="1"/>
  <c r="C72" i="39" s="1"/>
  <c r="C86" i="39" s="1"/>
  <c r="V13" i="38"/>
  <c r="K13" i="38"/>
  <c r="F82" i="39"/>
  <c r="E40" i="2"/>
  <c r="D40" i="34"/>
  <c r="E39" i="34"/>
  <c r="G36" i="20"/>
  <c r="B68" i="39"/>
  <c r="B82" i="39" s="1"/>
  <c r="F40" i="2"/>
  <c r="G40" i="2"/>
  <c r="E39" i="2"/>
  <c r="D65" i="39"/>
  <c r="L13" i="38"/>
  <c r="M12" i="38"/>
  <c r="H40" i="2"/>
  <c r="G39" i="20"/>
  <c r="F40" i="20"/>
  <c r="F39" i="20"/>
  <c r="H39" i="20"/>
  <c r="I36" i="2"/>
  <c r="I40" i="2"/>
  <c r="F40" i="34"/>
  <c r="D40" i="20"/>
  <c r="D39" i="20"/>
  <c r="E40" i="20"/>
  <c r="E39" i="20"/>
  <c r="V43" i="38"/>
  <c r="V42" i="38"/>
  <c r="V44" i="38"/>
  <c r="V41" i="38"/>
  <c r="V40" i="38"/>
  <c r="L25" i="38"/>
  <c r="K26" i="38"/>
  <c r="K44" i="38"/>
  <c r="K42" i="38"/>
  <c r="K41" i="38"/>
  <c r="K40" i="38"/>
  <c r="K43" i="38"/>
  <c r="E34" i="39"/>
  <c r="E75" i="39" s="1"/>
  <c r="E76" i="39" s="1"/>
  <c r="E35" i="39"/>
  <c r="E78" i="39" s="1"/>
  <c r="E79" i="39" s="1"/>
  <c r="I26" i="38"/>
  <c r="H25" i="38"/>
  <c r="U13" i="38"/>
  <c r="T12" i="38"/>
  <c r="I43" i="38"/>
  <c r="I44" i="38"/>
  <c r="I42" i="38"/>
  <c r="I40" i="38"/>
  <c r="I41" i="38"/>
  <c r="G38" i="38"/>
  <c r="H39" i="38"/>
  <c r="C34" i="39"/>
  <c r="C75" i="39" s="1"/>
  <c r="C76" i="39" s="1"/>
  <c r="J43" i="38"/>
  <c r="J41" i="38"/>
  <c r="J44" i="38"/>
  <c r="J40" i="38"/>
  <c r="J42" i="38"/>
  <c r="U25" i="38"/>
  <c r="W25" i="38"/>
  <c r="V26" i="38"/>
  <c r="K12" i="34"/>
  <c r="U39" i="38"/>
  <c r="T38" i="38"/>
  <c r="B75" i="39"/>
  <c r="B76" i="39" s="1"/>
  <c r="M38" i="38"/>
  <c r="L39" i="38"/>
  <c r="X38" i="38"/>
  <c r="W39" i="38"/>
  <c r="E85" i="39"/>
  <c r="C82" i="39" l="1"/>
  <c r="C65" i="39"/>
  <c r="D40" i="22"/>
  <c r="C41" i="40"/>
  <c r="F38" i="40" s="1"/>
  <c r="D85" i="39"/>
  <c r="F2" i="40"/>
  <c r="C22" i="40"/>
  <c r="C20" i="40"/>
  <c r="C21" i="40"/>
  <c r="F19" i="40"/>
  <c r="C4" i="40"/>
  <c r="C3" i="40"/>
  <c r="V15" i="38"/>
  <c r="X12" i="38"/>
  <c r="Y12" i="38" s="1"/>
  <c r="V14" i="38"/>
  <c r="V16" i="38"/>
  <c r="V18" i="38"/>
  <c r="C85" i="39"/>
  <c r="C35" i="39"/>
  <c r="C78" i="39" s="1"/>
  <c r="C79" i="39" s="1"/>
  <c r="V17" i="38"/>
  <c r="B69" i="39"/>
  <c r="B83" i="39" s="1"/>
  <c r="G40" i="20"/>
  <c r="B26" i="38"/>
  <c r="I28" i="38" s="1"/>
  <c r="F36" i="22"/>
  <c r="E36" i="22"/>
  <c r="E40" i="22"/>
  <c r="L12" i="22"/>
  <c r="B13" i="38" s="1"/>
  <c r="F16" i="38" s="1"/>
  <c r="M13" i="38"/>
  <c r="N12" i="38"/>
  <c r="N13" i="38" s="1"/>
  <c r="G36" i="34"/>
  <c r="G40" i="34"/>
  <c r="L13" i="22"/>
  <c r="S38" i="38"/>
  <c r="T39" i="38"/>
  <c r="L40" i="38"/>
  <c r="L42" i="38"/>
  <c r="L44" i="38"/>
  <c r="L41" i="38"/>
  <c r="L43" i="38"/>
  <c r="M39" i="38"/>
  <c r="N38" i="38"/>
  <c r="N39" i="38" s="1"/>
  <c r="H42" i="38"/>
  <c r="H44" i="38"/>
  <c r="H41" i="38"/>
  <c r="H40" i="38"/>
  <c r="H43" i="38"/>
  <c r="U42" i="38"/>
  <c r="U41" i="38"/>
  <c r="U43" i="38"/>
  <c r="U44" i="38"/>
  <c r="U40" i="38"/>
  <c r="U17" i="38"/>
  <c r="U18" i="38"/>
  <c r="U16" i="38"/>
  <c r="U15" i="38"/>
  <c r="U14" i="38"/>
  <c r="G39" i="38"/>
  <c r="F38" i="38"/>
  <c r="F39" i="38" s="1"/>
  <c r="W14" i="38"/>
  <c r="W17" i="38"/>
  <c r="W18" i="38"/>
  <c r="W15" i="38"/>
  <c r="W16" i="38"/>
  <c r="S12" i="38"/>
  <c r="T13" i="38"/>
  <c r="W42" i="38"/>
  <c r="W44" i="38"/>
  <c r="W40" i="38"/>
  <c r="W43" i="38"/>
  <c r="W41" i="38"/>
  <c r="H26" i="38"/>
  <c r="G25" i="38"/>
  <c r="W26" i="38"/>
  <c r="X25" i="38"/>
  <c r="M25" i="38"/>
  <c r="L26" i="38"/>
  <c r="U26" i="38"/>
  <c r="T25" i="38"/>
  <c r="Y38" i="38"/>
  <c r="X39" i="38"/>
  <c r="V29" i="38"/>
  <c r="V30" i="38"/>
  <c r="V28" i="38"/>
  <c r="V31" i="38"/>
  <c r="V27" i="38"/>
  <c r="L18" i="38" l="1"/>
  <c r="X13" i="38"/>
  <c r="X14" i="38" s="1"/>
  <c r="C7" i="40"/>
  <c r="F4" i="40" s="1"/>
  <c r="C24" i="40"/>
  <c r="F21" i="40" s="1"/>
  <c r="F40" i="22"/>
  <c r="J28" i="38"/>
  <c r="J31" i="38"/>
  <c r="J30" i="38"/>
  <c r="J29" i="38"/>
  <c r="J27" i="38"/>
  <c r="I31" i="38"/>
  <c r="K31" i="38"/>
  <c r="K27" i="38"/>
  <c r="H36" i="20"/>
  <c r="H40" i="20"/>
  <c r="K30" i="38"/>
  <c r="I30" i="38"/>
  <c r="I27" i="38"/>
  <c r="I29" i="38"/>
  <c r="K28" i="38"/>
  <c r="K29" i="38"/>
  <c r="K14" i="38"/>
  <c r="I15" i="38"/>
  <c r="H14" i="38"/>
  <c r="H17" i="38"/>
  <c r="K18" i="38"/>
  <c r="M17" i="38"/>
  <c r="I17" i="38"/>
  <c r="K16" i="38"/>
  <c r="J14" i="38"/>
  <c r="F18" i="38"/>
  <c r="L15" i="38"/>
  <c r="J15" i="38"/>
  <c r="G15" i="38"/>
  <c r="K15" i="38"/>
  <c r="J18" i="38"/>
  <c r="L16" i="38"/>
  <c r="J17" i="38"/>
  <c r="H16" i="38"/>
  <c r="I16" i="38"/>
  <c r="J16" i="38"/>
  <c r="N18" i="38"/>
  <c r="G16" i="38"/>
  <c r="N16" i="38"/>
  <c r="I18" i="38"/>
  <c r="F17" i="38"/>
  <c r="F15" i="38"/>
  <c r="H18" i="38"/>
  <c r="L17" i="38"/>
  <c r="F14" i="38"/>
  <c r="G17" i="38"/>
  <c r="H15" i="38"/>
  <c r="I14" i="38"/>
  <c r="G18" i="38"/>
  <c r="K17" i="38"/>
  <c r="L14" i="38"/>
  <c r="G14" i="38"/>
  <c r="N14" i="38"/>
  <c r="N15" i="38"/>
  <c r="M18" i="38"/>
  <c r="M15" i="38"/>
  <c r="M16" i="38"/>
  <c r="M14" i="38"/>
  <c r="N17" i="38"/>
  <c r="G36" i="22"/>
  <c r="G40" i="22"/>
  <c r="N41" i="38"/>
  <c r="N44" i="38"/>
  <c r="N42" i="38"/>
  <c r="N43" i="38"/>
  <c r="N40" i="38"/>
  <c r="Y25" i="38"/>
  <c r="X26" i="38"/>
  <c r="M41" i="38"/>
  <c r="M40" i="38"/>
  <c r="M44" i="38"/>
  <c r="M42" i="38"/>
  <c r="M43" i="38"/>
  <c r="X40" i="38"/>
  <c r="X44" i="38"/>
  <c r="X41" i="38"/>
  <c r="X43" i="38"/>
  <c r="X42" i="38"/>
  <c r="W28" i="38"/>
  <c r="W27" i="38"/>
  <c r="W29" i="38"/>
  <c r="W31" i="38"/>
  <c r="W30" i="38"/>
  <c r="F42" i="38"/>
  <c r="F41" i="38"/>
  <c r="F40" i="38"/>
  <c r="F44" i="38"/>
  <c r="F43" i="38"/>
  <c r="T44" i="38"/>
  <c r="T42" i="38"/>
  <c r="T41" i="38"/>
  <c r="T40" i="38"/>
  <c r="T43" i="38"/>
  <c r="L30" i="38"/>
  <c r="L31" i="38"/>
  <c r="L27" i="38"/>
  <c r="L29" i="38"/>
  <c r="L28" i="38"/>
  <c r="F25" i="38"/>
  <c r="F26" i="38" s="1"/>
  <c r="G26" i="38"/>
  <c r="S13" i="38"/>
  <c r="R12" i="38"/>
  <c r="R13" i="38" s="1"/>
  <c r="R15" i="38" s="1"/>
  <c r="X16" i="38"/>
  <c r="X18" i="38"/>
  <c r="X17" i="38"/>
  <c r="T17" i="38"/>
  <c r="T14" i="38"/>
  <c r="T15" i="38"/>
  <c r="T16" i="38"/>
  <c r="T18" i="38"/>
  <c r="H27" i="38"/>
  <c r="H29" i="38"/>
  <c r="H28" i="38"/>
  <c r="H31" i="38"/>
  <c r="H30" i="38"/>
  <c r="T26" i="38"/>
  <c r="S25" i="38"/>
  <c r="Y13" i="38"/>
  <c r="Z12" i="38"/>
  <c r="Z13" i="38" s="1"/>
  <c r="L14" i="22"/>
  <c r="M26" i="38"/>
  <c r="N25" i="38"/>
  <c r="N26" i="38" s="1"/>
  <c r="Y39" i="38"/>
  <c r="Z38" i="38"/>
  <c r="Z39" i="38" s="1"/>
  <c r="G43" i="38"/>
  <c r="G41" i="38"/>
  <c r="G44" i="38"/>
  <c r="G40" i="38"/>
  <c r="G42" i="38"/>
  <c r="R38" i="38"/>
  <c r="R39" i="38" s="1"/>
  <c r="S39" i="38"/>
  <c r="U31" i="38"/>
  <c r="U28" i="38"/>
  <c r="U30" i="38"/>
  <c r="U27" i="38"/>
  <c r="U29" i="38"/>
  <c r="X15" i="38" l="1"/>
  <c r="H36" i="22"/>
  <c r="H40" i="22"/>
  <c r="N30" i="38"/>
  <c r="N28" i="38"/>
  <c r="N27" i="38"/>
  <c r="N29" i="38"/>
  <c r="N31" i="38"/>
  <c r="F28" i="38"/>
  <c r="F27" i="38"/>
  <c r="F29" i="38"/>
  <c r="F31" i="38"/>
  <c r="F30" i="38"/>
  <c r="Y26" i="38"/>
  <c r="Z25" i="38"/>
  <c r="Z26" i="38" s="1"/>
  <c r="R41" i="38"/>
  <c r="R44" i="38"/>
  <c r="R42" i="38"/>
  <c r="R40" i="38"/>
  <c r="R43" i="38"/>
  <c r="G27" i="38"/>
  <c r="G30" i="38"/>
  <c r="G29" i="38"/>
  <c r="G28" i="38"/>
  <c r="G31" i="38"/>
  <c r="X27" i="38"/>
  <c r="X31" i="38"/>
  <c r="X28" i="38"/>
  <c r="X30" i="38"/>
  <c r="X29" i="38"/>
  <c r="Y15" i="38"/>
  <c r="Y17" i="38"/>
  <c r="Y16" i="38"/>
  <c r="Y14" i="38"/>
  <c r="Y18" i="38"/>
  <c r="M28" i="38"/>
  <c r="M31" i="38"/>
  <c r="M27" i="38"/>
  <c r="M30" i="38"/>
  <c r="M29" i="38"/>
  <c r="Z16" i="38"/>
  <c r="Z18" i="38"/>
  <c r="Z17" i="38"/>
  <c r="Z14" i="38"/>
  <c r="Z15" i="38"/>
  <c r="Z44" i="38"/>
  <c r="Z43" i="38"/>
  <c r="Z41" i="38"/>
  <c r="Z42" i="38"/>
  <c r="Z40" i="38"/>
  <c r="S26" i="38"/>
  <c r="R25" i="38"/>
  <c r="R26" i="38" s="1"/>
  <c r="S18" i="38"/>
  <c r="S14" i="38"/>
  <c r="S15" i="38"/>
  <c r="S17" i="38"/>
  <c r="S16" i="38"/>
  <c r="S40" i="38"/>
  <c r="S43" i="38"/>
  <c r="S44" i="38"/>
  <c r="S41" i="38"/>
  <c r="S42" i="38"/>
  <c r="Y42" i="38"/>
  <c r="Y44" i="38"/>
  <c r="Y41" i="38"/>
  <c r="Y40" i="38"/>
  <c r="Y43" i="38"/>
  <c r="T30" i="38"/>
  <c r="T28" i="38"/>
  <c r="T29" i="38"/>
  <c r="T31" i="38"/>
  <c r="T27" i="38"/>
  <c r="R14" i="38"/>
  <c r="R18" i="38"/>
  <c r="R17" i="38"/>
  <c r="R16" i="38"/>
  <c r="Z30" i="38" l="1"/>
  <c r="Z29" i="38"/>
  <c r="Z27" i="38"/>
  <c r="Z28" i="38"/>
  <c r="Z31" i="38"/>
  <c r="Y27" i="38"/>
  <c r="Y28" i="38"/>
  <c r="Y30" i="38"/>
  <c r="Y29" i="38"/>
  <c r="Y31" i="38"/>
  <c r="S31" i="38"/>
  <c r="S28" i="38"/>
  <c r="S27" i="38"/>
  <c r="S30" i="38"/>
  <c r="S29" i="38"/>
  <c r="R27" i="38"/>
  <c r="R29" i="38"/>
  <c r="R31" i="38"/>
  <c r="R28" i="38"/>
  <c r="R30" i="38"/>
  <c r="F30" i="39" l="1"/>
  <c r="F32" i="39" s="1"/>
  <c r="C40" i="10" l="1"/>
  <c r="C36" i="10"/>
  <c r="B71" i="39"/>
  <c r="B85" i="39" s="1"/>
  <c r="B78" i="39"/>
  <c r="B79" i="39" s="1"/>
  <c r="F71" i="39"/>
  <c r="F35" i="39"/>
  <c r="F78" i="39" s="1"/>
  <c r="F79" i="39" s="1"/>
  <c r="D40" i="2"/>
  <c r="F85" i="39" l="1"/>
  <c r="F72" i="39"/>
  <c r="F86" i="39" s="1"/>
  <c r="D36" i="10"/>
  <c r="D40" i="10"/>
  <c r="B72" i="39"/>
  <c r="B86" i="39" s="1"/>
  <c r="E36" i="10"/>
  <c r="E40" i="10"/>
</calcChain>
</file>

<file path=xl/sharedStrings.xml><?xml version="1.0" encoding="utf-8"?>
<sst xmlns="http://schemas.openxmlformats.org/spreadsheetml/2006/main" count="271" uniqueCount="138">
  <si>
    <t>OOS FS / EASTERN FS</t>
  </si>
  <si>
    <t>2026-27 season</t>
  </si>
  <si>
    <t>Datum opgedateer / Date updated</t>
  </si>
  <si>
    <t>Gewas</t>
  </si>
  <si>
    <t>SAFEX pryse (R/ton)</t>
  </si>
  <si>
    <t>Total deductions (R/ton)</t>
  </si>
  <si>
    <t>Wit Mielies / White Maize- Jul 27</t>
  </si>
  <si>
    <t>Sonneblom / Sunflower- Mei 27</t>
  </si>
  <si>
    <t>Sojabone / Soybeans- Mei 27</t>
  </si>
  <si>
    <t>BT MIELIES / BT MAIZE</t>
  </si>
  <si>
    <t>MIELIES: SENSITIWITEITSANALISE - TOTALE KOSTES ( DIREKTE KOSTE + VASTE KOSTE) R/ton</t>
  </si>
  <si>
    <t>MIELIES: SENSITIWITEITSANALISE - DIREKTE KOSTE R/ton</t>
  </si>
  <si>
    <t>Lopendekoste / Variable cost (R/ha)</t>
  </si>
  <si>
    <t>Huidig</t>
  </si>
  <si>
    <t>Oorhoofse koste / Overhead cost (R/ha)</t>
  </si>
  <si>
    <t>SAFEX prys / price(R/ton)</t>
  </si>
  <si>
    <t>Totale Koste / Total cost (R/ha)</t>
  </si>
  <si>
    <t>Produsenteprys/ Producer price</t>
  </si>
  <si>
    <t>Opbrengs / Yield (t/ha)</t>
  </si>
  <si>
    <t>Gemid Opbrengs / Average Yield (t/ha)</t>
  </si>
  <si>
    <t>SAFEX Jul'27 WM 1 prys/price  (R/ton)</t>
  </si>
  <si>
    <t xml:space="preserve">Aftrekkings / Deductions </t>
  </si>
  <si>
    <t>Produsenteprys/ Producer price (R/ton)</t>
  </si>
  <si>
    <t>SONNEBLOM / SUNFLOWER</t>
  </si>
  <si>
    <t>SONNEBLOM: SENSITIWITEITSANALISE - TOTALE KOSTES ( DIREKTE KOSTE + VASTE KOSTE) R/ton</t>
  </si>
  <si>
    <t>SONNEBLOM: SENSITIWITEITSANALISE - DIREKTE KOSTE R/ton</t>
  </si>
  <si>
    <t>SAFEX Mar'27 Sun prys/price  (R/ton)</t>
  </si>
  <si>
    <t>SOJABONE / SOYBEANS</t>
  </si>
  <si>
    <t>SOJABONE: SENSITIWITEITSANALISE - TOTALE KOSTES ( DIREKTE KOSTE + VASTE KOSTE) R/ton</t>
  </si>
  <si>
    <t>SOJABONE: SENSITIWITEITSANALISE - DIREKTE KOSTE R/ton</t>
  </si>
  <si>
    <t>Huidige</t>
  </si>
  <si>
    <t>SAFEX Mei'27 Soy prys/price  (R/ton)</t>
  </si>
  <si>
    <t>PRODUKSIEJAAR   2026-26                     PRODUCTION YEAR 2026-27</t>
  </si>
  <si>
    <t>Huidige Produkprys op plaas vir beste graad / Current product price for the best grade (R/TON) (Safex min bemarkingskoste/marketing cost)</t>
  </si>
  <si>
    <t>Rand/ton</t>
  </si>
  <si>
    <t>Beplanningsopbrengs / Estimated yields (ton/ha)</t>
  </si>
  <si>
    <t>Bruto produksiewaarde / Gross production value (R/ha)</t>
  </si>
  <si>
    <t>Direk Toedeelbare veranderlike koste / Direct Allocated Variable costs (R/ha)</t>
  </si>
  <si>
    <t>Saad / Seed</t>
  </si>
  <si>
    <t>Kunsmis / Fertiliser</t>
  </si>
  <si>
    <t>Kalk / Lime</t>
  </si>
  <si>
    <t>Brandstof / Fuel</t>
  </si>
  <si>
    <t>Reparasie / Reparation</t>
  </si>
  <si>
    <t>Onkruiddoders / Herbicide</t>
  </si>
  <si>
    <t>Plaagdoder / Pesticides</t>
  </si>
  <si>
    <t>Insetversekering / Input insurance</t>
  </si>
  <si>
    <t>Besproeiingskoste / Irrigation cost</t>
  </si>
  <si>
    <t>Graanprysverskansing / Grain hedging</t>
  </si>
  <si>
    <t>Kontrakstroop / Contract Harvesting</t>
  </si>
  <si>
    <t>Oesversekering / Harvest insurance</t>
  </si>
  <si>
    <t>Lugspuit / Aerial spray</t>
  </si>
  <si>
    <t>Losarbeid / Casual labour</t>
  </si>
  <si>
    <t>Droogkoste / Drying cost</t>
  </si>
  <si>
    <t>Verpakking en Pakmateriaal / Packaging and packaging material</t>
  </si>
  <si>
    <t>Produksiekrediet rente / Interest on production R/ha</t>
  </si>
  <si>
    <t>Totale Direk Toedeelbare veranderlike koste / Total Direct Allocated Variable Cost  (R/ha)</t>
  </si>
  <si>
    <t>Totale Oorhoofse koste / Total overhead cost R/ha</t>
  </si>
  <si>
    <t>Totale Koste per ha voor fisiese bemarking R/ha / Total cost per ha before marketing cost R/ha</t>
  </si>
  <si>
    <t>Totale koste per ton voor fisiese bemarking R/Ton / Total cost per ton before marketing cost R/Ton</t>
  </si>
  <si>
    <t>Totale bemarkingskoste / Total marketing cost R/ton</t>
  </si>
  <si>
    <t>Verwagte minimum Safex prys SONDER wins/ Expected minimum Safex price, WITHOUT profit</t>
  </si>
  <si>
    <t>Huidige Safex prys / Current Safex price</t>
  </si>
  <si>
    <t>BRUTO MARGE / GROSS MARGIN  (R/ha)</t>
  </si>
  <si>
    <t>NETTO MARGE / NETT MARGIN  (R/ha)</t>
  </si>
  <si>
    <t>guarantee and for which Grain SA accepts no liability. Any prices or levels contained herein are preliminary and indicative only and do not</t>
  </si>
  <si>
    <t>represent bids or offers. These indications are provided solely for your information and consideration.</t>
  </si>
  <si>
    <t xml:space="preserve">                                        Thank you to the Maize Trust for partially funding this project</t>
  </si>
  <si>
    <t>Produsent prys raming vir droëland WIT BT MIELIES vir die / Producer price framework for dry land WHITE BT MAIZE for the</t>
  </si>
  <si>
    <t>PRODUKSIEJAAR   2026-27                      PRODUCTION YEAR 2026-27</t>
  </si>
  <si>
    <t>BTMielies</t>
  </si>
  <si>
    <t>Opbrengspeil</t>
  </si>
  <si>
    <t>Lopende koste</t>
  </si>
  <si>
    <t>Oorhoofse koste</t>
  </si>
  <si>
    <t>Produsent prys raming vir BESPROEIING MIELIES vir die  / Producer price framework for IRRIGATION MAIZE for the</t>
  </si>
  <si>
    <t>PRODUKSIEJAAR   2026-27                     PRODUCTION YEAR 2026-27</t>
  </si>
  <si>
    <t>PRODUKSIEJAAR   2026-27                    PRODUCTION YEAR 2026-27</t>
  </si>
  <si>
    <t>Sojabone</t>
  </si>
  <si>
    <t xml:space="preserve">                                                  Thank you to the Maize Trust for partially funding this project</t>
  </si>
  <si>
    <t>Column1</t>
  </si>
  <si>
    <t>Column2</t>
  </si>
  <si>
    <t>Column3</t>
  </si>
  <si>
    <t>Column4</t>
  </si>
  <si>
    <t xml:space="preserve">Crop </t>
  </si>
  <si>
    <t>National 5-year average (2020/21-2024/25 production seasons)</t>
  </si>
  <si>
    <t xml:space="preserve">1) INCOME </t>
  </si>
  <si>
    <t>Yellow Maize</t>
  </si>
  <si>
    <t>Yield target (ton/ha)</t>
  </si>
  <si>
    <t>Soybeans</t>
  </si>
  <si>
    <t xml:space="preserve">SAFEX: Estimated Price </t>
  </si>
  <si>
    <t>Sunflowers</t>
  </si>
  <si>
    <t xml:space="preserve">Deductions </t>
  </si>
  <si>
    <t>Net Farm Gate Price</t>
  </si>
  <si>
    <t>GROSS INCOME (R/ha)</t>
  </si>
  <si>
    <t>Note</t>
  </si>
  <si>
    <t>In instances where the average national yield is not estimated, the minimum estimated/ expected yield is used.</t>
  </si>
  <si>
    <t xml:space="preserve">2) VARIABLE EXPENDITURES </t>
  </si>
  <si>
    <t>TOTAL VARIABLE EXPENDITURE (R/ha)</t>
  </si>
  <si>
    <t>TOTAL FIXED COST (R/ha)</t>
  </si>
  <si>
    <t>TOTAL COST (R/ha)</t>
  </si>
  <si>
    <t>3) GROSS MARGIN  (R/ha)</t>
  </si>
  <si>
    <t>4) NETT MARGIN  (R/ha)</t>
  </si>
  <si>
    <t xml:space="preserve">SUMMARY </t>
  </si>
  <si>
    <t>LGO (ton/ha)</t>
  </si>
  <si>
    <t>Net Farm Gate Price (R/ha)</t>
  </si>
  <si>
    <t>Net Farm Gate Price (R/ton)</t>
  </si>
  <si>
    <t xml:space="preserve">2) EXPENDITURES </t>
  </si>
  <si>
    <t>Total variable cost (R/ha)</t>
  </si>
  <si>
    <t>Total variable cost (R/ton)</t>
  </si>
  <si>
    <t>Total variable &amp; fixed expenditure (R/ha)</t>
  </si>
  <si>
    <t>Total variable &amp; fixed expenditure (R/ton)</t>
  </si>
  <si>
    <t>3) MARGIN</t>
  </si>
  <si>
    <t>Gross margin (R/ha)</t>
  </si>
  <si>
    <t>Gross margin (R/ton)</t>
  </si>
  <si>
    <t>Nett margin (R/ha)</t>
  </si>
  <si>
    <t>Net margin (R/ton)</t>
  </si>
  <si>
    <t>BREAK-EVEN &amp; PROFITABILITY (ONLY variable cost)</t>
  </si>
  <si>
    <t>Break-even yields (t/ha)</t>
  </si>
  <si>
    <t>Break-even Safex price (t/ha)</t>
  </si>
  <si>
    <t>BREAK-EVEN &amp; PROFITABILITY (variable &amp; fixed cost)</t>
  </si>
  <si>
    <t>Winsgewendheid: Mielies</t>
  </si>
  <si>
    <t>Pointer</t>
  </si>
  <si>
    <t>Start</t>
  </si>
  <si>
    <t>% NM van tot</t>
  </si>
  <si>
    <t>Veranderlike koste</t>
  </si>
  <si>
    <t>Vaste koste</t>
  </si>
  <si>
    <t>End</t>
  </si>
  <si>
    <t>Totale inkomste</t>
  </si>
  <si>
    <t>Max</t>
  </si>
  <si>
    <t>Totaal</t>
  </si>
  <si>
    <t>Netto Marge</t>
  </si>
  <si>
    <t>Winsgewendheid: Sonneblom</t>
  </si>
  <si>
    <t>Winsgewendheid: Sojabone</t>
  </si>
  <si>
    <r>
      <t>Disclaimer:</t>
    </r>
    <r>
      <rPr>
        <sz val="11"/>
        <rFont val="Aptos"/>
        <family val="2"/>
      </rPr>
      <t xml:space="preserve"> The information herein has been obtained from various sources, the accuracy and/or completeness of which Grain SA does not</t>
    </r>
  </si>
  <si>
    <t>Produsent prys raming vir droëland WIT KONVENSIONELE MIELIES vir die / Producer price framework for dry land WHITE CONVENTIONAL MAIZE for the</t>
  </si>
  <si>
    <t>Produsent prys raming vir droëland SONNEBLOM vir die / Producer price framework for dry land SUNFLOWER for the</t>
  </si>
  <si>
    <t>Produsent prys raming vir droëland SOJABONE vir die / Producer price framework for dry land SOYBEANS for the</t>
  </si>
  <si>
    <r>
      <rPr>
        <b/>
        <sz val="11"/>
        <color indexed="30"/>
        <rFont val="Aptos"/>
        <family val="2"/>
      </rPr>
      <t>EASTERN FREE STATE</t>
    </r>
    <r>
      <rPr>
        <b/>
        <sz val="11"/>
        <color indexed="8"/>
        <rFont val="Aptos"/>
        <family val="2"/>
      </rPr>
      <t xml:space="preserve"> INCOME &amp; COST BUDGETS - SUMMER CROPS 2026/27</t>
    </r>
  </si>
  <si>
    <r>
      <rPr>
        <b/>
        <sz val="11"/>
        <color rgb="FF000000"/>
        <rFont val="Aptos"/>
        <family val="2"/>
      </rPr>
      <t>Disclaimer</t>
    </r>
    <r>
      <rPr>
        <sz val="11"/>
        <color indexed="8"/>
        <rFont val="Aptos"/>
        <family val="2"/>
      </rPr>
      <t>:</t>
    </r>
    <r>
      <rPr>
        <sz val="11"/>
        <rFont val="Aptos"/>
        <family val="2"/>
      </rPr>
      <t xml:space="preserve"> The information herein has been obtained from various sources, the accuracy and/or completeness of which Grain SA does not guarantee and for which Grain SA accepts no liability. Any prices or levels contained herein are preliminary and indicative only and do not represent bids or offers. These indications are provided solely for your information and consideration.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</si>
</sst>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43" formatCode="_-* #,##0.00_-;\-* #,##0.00_-;_-* &quot;-&quot;??_-;_-@_-"/>
    <numFmt numFmtId="164" formatCode="_(&quot;$&quot;* #,##0.00_);_(&quot;$&quot;* \(#,##0.00\);_(&quot;$&quot;* &quot;-&quot;??_);_(@_)"/>
    <numFmt numFmtId="165" formatCode="_(* #,##0.00_);_(* \(#,##0.00\);_(* &quot;-&quot;??_);_(@_)"/>
    <numFmt numFmtId="166" formatCode="_ &quot;R&quot;\ * #,##0.00_ ;_ &quot;R&quot;\ * \-#,##0.00_ ;_ &quot;R&quot;\ * &quot;-&quot;??_ ;_ @_ "/>
    <numFmt numFmtId="167" formatCode="_ * #,##0.00_ ;_ * \-#,##0.00_ ;_ * &quot;-&quot;??_ ;_ @_ "/>
    <numFmt numFmtId="168" formatCode="0.00_)"/>
    <numFmt numFmtId="170" formatCode="_ * #,##0.0_ ;_ * \-#,##0.0_ ;_ * &quot;-&quot;?_ ;_ @_ "/>
    <numFmt numFmtId="171" formatCode="_ * #,##0_ ;_ * \-#,##0_ ;_ * &quot;-&quot;??_ ;_ @_ "/>
    <numFmt numFmtId="172" formatCode="0.0"/>
    <numFmt numFmtId="173" formatCode="&quot;R&quot;\ #,##0"/>
    <numFmt numFmtId="174" formatCode="&quot;R&quot;\ #,##0.00"/>
    <numFmt numFmtId="175" formatCode="_ [$R-1C09]\ * #,##0.00_ ;_ [$R-1C09]\ * \-#,##0.00_ ;_ [$R-1C09]\ * &quot;-&quot;??_ ;_ @_ "/>
    <numFmt numFmtId="176" formatCode="_ * #,##0.00_ ;_ * \-#,##0.00_ ;_ * &quot;-&quot;?_ ;_ @_ "/>
    <numFmt numFmtId="177" formatCode="_-[$R-1C09]* #,##0_-;\-[$R-1C09]* #,##0_-;_-[$R-1C09]* &quot;-&quot;??_-;_-@_-"/>
    <numFmt numFmtId="182" formatCode="_-&quot;R&quot;* #,##0_-;\-&quot;R&quot;* #,##0_-;_-&quot;R&quot;* &quot;-&quot;??_-;_-@_-"/>
  </numFmts>
  <fonts count="38" x14ac:knownFonts="1">
    <font>
      <sz val="10"/>
      <name val="Arial"/>
    </font>
    <font>
      <sz val="11"/>
      <color theme="1"/>
      <name val="Calibri"/>
      <family val="2"/>
      <scheme val="minor"/>
    </font>
    <font>
      <sz val="11"/>
      <color theme="1"/>
      <name val="Calibri"/>
      <family val="2"/>
      <scheme val="minor"/>
    </font>
    <font>
      <b/>
      <sz val="10"/>
      <name val="Arial"/>
      <family val="2"/>
    </font>
    <font>
      <sz val="10"/>
      <name val="Arial"/>
      <family val="2"/>
    </font>
    <font>
      <u/>
      <sz val="10"/>
      <color indexed="12"/>
      <name val="Courier"/>
      <family val="3"/>
    </font>
    <font>
      <b/>
      <sz val="12"/>
      <name val="Arial"/>
      <family val="2"/>
    </font>
    <font>
      <sz val="10"/>
      <name val="Arial"/>
      <family val="2"/>
    </font>
    <font>
      <sz val="8"/>
      <name val="Arial"/>
      <family val="2"/>
    </font>
    <font>
      <sz val="10"/>
      <name val="Segoe UI"/>
      <family val="2"/>
    </font>
    <font>
      <sz val="10"/>
      <name val="Arial Black"/>
      <family val="2"/>
    </font>
    <font>
      <sz val="10"/>
      <name val="Arial"/>
      <family val="2"/>
    </font>
    <font>
      <u/>
      <sz val="7.5"/>
      <color indexed="12"/>
      <name val="Arial"/>
      <family val="2"/>
    </font>
    <font>
      <sz val="11"/>
      <color indexed="8"/>
      <name val="Calibri"/>
      <family val="2"/>
    </font>
    <font>
      <sz val="11"/>
      <name val="Times New Roman"/>
      <family val="1"/>
    </font>
    <font>
      <sz val="10"/>
      <color theme="1"/>
      <name val="Arial"/>
      <family val="2"/>
    </font>
    <font>
      <sz val="11"/>
      <color theme="1"/>
      <name val="Calibri"/>
      <family val="2"/>
      <scheme val="minor"/>
    </font>
    <font>
      <b/>
      <sz val="10"/>
      <color theme="1"/>
      <name val="Arial"/>
      <family val="2"/>
    </font>
    <font>
      <b/>
      <sz val="10"/>
      <color rgb="FFFF0000"/>
      <name val="Arial"/>
      <family val="2"/>
    </font>
    <font>
      <b/>
      <sz val="11"/>
      <color theme="1"/>
      <name val="Calibri"/>
      <family val="2"/>
      <scheme val="minor"/>
    </font>
    <font>
      <b/>
      <sz val="18"/>
      <color rgb="FF00B050"/>
      <name val="Arial"/>
      <family val="2"/>
    </font>
    <font>
      <b/>
      <sz val="11"/>
      <color rgb="FFFF0000"/>
      <name val="Calibri"/>
      <family val="2"/>
      <scheme val="minor"/>
    </font>
    <font>
      <sz val="10"/>
      <name val="Arial"/>
      <family val="2"/>
    </font>
    <font>
      <sz val="14"/>
      <color theme="0"/>
      <name val="Calibri"/>
      <family val="2"/>
      <scheme val="minor"/>
    </font>
    <font>
      <sz val="14"/>
      <color theme="1"/>
      <name val="Calibri"/>
      <family val="2"/>
      <scheme val="minor"/>
    </font>
    <font>
      <b/>
      <sz val="14"/>
      <color theme="0"/>
      <name val="Calibri"/>
      <family val="2"/>
      <scheme val="minor"/>
    </font>
    <font>
      <b/>
      <sz val="11"/>
      <color theme="0"/>
      <name val="Aptos"/>
      <family val="2"/>
    </font>
    <font>
      <b/>
      <sz val="11"/>
      <color indexed="8"/>
      <name val="Aptos"/>
      <family val="2"/>
    </font>
    <font>
      <b/>
      <sz val="11"/>
      <name val="Aptos"/>
      <family val="2"/>
    </font>
    <font>
      <sz val="11"/>
      <name val="Aptos"/>
      <family val="2"/>
    </font>
    <font>
      <sz val="11"/>
      <color theme="0"/>
      <name val="Aptos"/>
      <family val="2"/>
    </font>
    <font>
      <b/>
      <sz val="11"/>
      <color indexed="10"/>
      <name val="Aptos"/>
      <family val="2"/>
    </font>
    <font>
      <sz val="11"/>
      <color rgb="FFFF0000"/>
      <name val="Aptos"/>
      <family val="2"/>
    </font>
    <font>
      <b/>
      <sz val="11"/>
      <color theme="1"/>
      <name val="Aptos"/>
      <family val="2"/>
    </font>
    <font>
      <b/>
      <sz val="11"/>
      <color indexed="30"/>
      <name val="Aptos"/>
      <family val="2"/>
    </font>
    <font>
      <b/>
      <sz val="11"/>
      <color rgb="FFFF0000"/>
      <name val="Aptos"/>
      <family val="2"/>
    </font>
    <font>
      <sz val="11"/>
      <color indexed="8"/>
      <name val="Aptos"/>
      <family val="2"/>
    </font>
    <font>
      <b/>
      <sz val="11"/>
      <color rgb="FF000000"/>
      <name val="Aptos"/>
      <family val="2"/>
    </font>
  </fonts>
  <fills count="13">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rgb="FFF96FDB"/>
        <bgColor indexed="64"/>
      </patternFill>
    </fill>
    <fill>
      <patternFill patternType="solid">
        <fgColor rgb="FF00B0F0"/>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theme="0"/>
      </patternFill>
    </fill>
    <fill>
      <patternFill patternType="solid">
        <fgColor theme="0" tint="-0.14999847407452621"/>
        <bgColor indexed="9"/>
      </patternFill>
    </fill>
    <fill>
      <patternFill patternType="solid">
        <fgColor rgb="FF3A6367"/>
        <bgColor indexed="64"/>
      </patternFill>
    </fill>
    <fill>
      <patternFill patternType="solid">
        <fgColor rgb="FFAD9244"/>
        <bgColor indexed="64"/>
      </patternFill>
    </fill>
    <fill>
      <patternFill patternType="solid">
        <fgColor theme="4" tint="-0.249977111117893"/>
        <bgColor indexed="64"/>
      </patternFill>
    </fill>
  </fills>
  <borders count="51">
    <border>
      <left/>
      <right/>
      <top/>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double">
        <color indexed="64"/>
      </top>
      <bottom style="double">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bottom style="double">
        <color indexed="64"/>
      </bottom>
      <diagonal/>
    </border>
    <border>
      <left/>
      <right style="medium">
        <color indexed="64"/>
      </right>
      <top style="double">
        <color indexed="64"/>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s>
  <cellStyleXfs count="125">
    <xf numFmtId="0" fontId="0" fillId="0" borderId="0"/>
    <xf numFmtId="167" fontId="4" fillId="0" borderId="0" applyFont="0" applyFill="0" applyBorder="0" applyAlignment="0" applyProtection="0"/>
    <xf numFmtId="167"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6"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4" fontId="4" fillId="0" borderId="0" applyFont="0" applyFill="0" applyBorder="0" applyAlignment="0" applyProtection="0"/>
    <xf numFmtId="166" fontId="16"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4" fillId="0" borderId="0"/>
    <xf numFmtId="0" fontId="8" fillId="0" borderId="0"/>
    <xf numFmtId="0" fontId="8" fillId="0" borderId="0"/>
    <xf numFmtId="0" fontId="8" fillId="0" borderId="0"/>
    <xf numFmtId="0" fontId="4" fillId="0" borderId="0"/>
    <xf numFmtId="0" fontId="4" fillId="0" borderId="0"/>
    <xf numFmtId="0" fontId="9" fillId="0" borderId="0"/>
    <xf numFmtId="0" fontId="8" fillId="0" borderId="0"/>
    <xf numFmtId="0" fontId="15" fillId="0" borderId="0"/>
    <xf numFmtId="0" fontId="15" fillId="0" borderId="0"/>
    <xf numFmtId="0" fontId="4" fillId="0" borderId="0"/>
    <xf numFmtId="0" fontId="15" fillId="0" borderId="0"/>
    <xf numFmtId="0" fontId="15" fillId="0" borderId="0"/>
    <xf numFmtId="0" fontId="14" fillId="0" borderId="0"/>
    <xf numFmtId="0" fontId="4" fillId="0" borderId="0"/>
    <xf numFmtId="0" fontId="4" fillId="0" borderId="0"/>
    <xf numFmtId="0" fontId="16" fillId="0" borderId="0"/>
    <xf numFmtId="0" fontId="15" fillId="0" borderId="0"/>
    <xf numFmtId="0" fontId="15" fillId="0" borderId="0"/>
    <xf numFmtId="0" fontId="4" fillId="0" borderId="0"/>
    <xf numFmtId="0" fontId="15" fillId="0" borderId="0"/>
    <xf numFmtId="0" fontId="15" fillId="0" borderId="0"/>
    <xf numFmtId="0" fontId="4" fillId="0" borderId="0"/>
    <xf numFmtId="0" fontId="15" fillId="0" borderId="0"/>
    <xf numFmtId="0" fontId="15" fillId="0" borderId="0"/>
    <xf numFmtId="0" fontId="4" fillId="0" borderId="0"/>
    <xf numFmtId="0" fontId="16" fillId="0" borderId="0"/>
    <xf numFmtId="0" fontId="8" fillId="0" borderId="0"/>
    <xf numFmtId="0" fontId="8" fillId="0" borderId="0"/>
    <xf numFmtId="0" fontId="16" fillId="0" borderId="0"/>
    <xf numFmtId="0" fontId="4" fillId="0" borderId="0"/>
    <xf numFmtId="0" fontId="8" fillId="0" borderId="0"/>
    <xf numFmtId="0" fontId="8" fillId="0" borderId="0"/>
    <xf numFmtId="0" fontId="9"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6"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6"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0" fontId="2" fillId="0" borderId="0"/>
    <xf numFmtId="9" fontId="22" fillId="0" borderId="0" applyFont="0" applyFill="0" applyBorder="0" applyAlignment="0" applyProtection="0"/>
  </cellStyleXfs>
  <cellXfs count="350">
    <xf numFmtId="0" fontId="0" fillId="0" borderId="0" xfId="0"/>
    <xf numFmtId="0" fontId="4" fillId="0" borderId="0" xfId="67"/>
    <xf numFmtId="0" fontId="4" fillId="0" borderId="11" xfId="67" applyBorder="1" applyAlignment="1">
      <alignment horizontal="center" vertical="center" wrapText="1"/>
    </xf>
    <xf numFmtId="0" fontId="4" fillId="0" borderId="1" xfId="67" applyBorder="1" applyAlignment="1">
      <alignment horizontal="center" vertical="center" wrapText="1"/>
    </xf>
    <xf numFmtId="0" fontId="18" fillId="2" borderId="6" xfId="67" applyFont="1" applyFill="1" applyBorder="1" applyAlignment="1">
      <alignment horizontal="center" vertical="center"/>
    </xf>
    <xf numFmtId="0" fontId="17" fillId="2" borderId="6" xfId="67" applyFont="1" applyFill="1" applyBorder="1" applyAlignment="1">
      <alignment horizontal="center" vertical="center"/>
    </xf>
    <xf numFmtId="0" fontId="18" fillId="2" borderId="1" xfId="67" applyFont="1" applyFill="1" applyBorder="1" applyAlignment="1">
      <alignment horizontal="center" vertical="center"/>
    </xf>
    <xf numFmtId="0" fontId="3" fillId="2" borderId="6" xfId="67" applyFont="1" applyFill="1" applyBorder="1" applyAlignment="1">
      <alignment horizontal="center" vertical="center"/>
    </xf>
    <xf numFmtId="173" fontId="18" fillId="2" borderId="6" xfId="67" applyNumberFormat="1" applyFont="1" applyFill="1" applyBorder="1" applyAlignment="1">
      <alignment horizontal="center" vertical="center"/>
    </xf>
    <xf numFmtId="0" fontId="3" fillId="0" borderId="12" xfId="67" applyFont="1" applyBorder="1" applyAlignment="1">
      <alignment horizontal="center" vertical="center"/>
    </xf>
    <xf numFmtId="173" fontId="18" fillId="0" borderId="12" xfId="67" applyNumberFormat="1" applyFont="1" applyBorder="1" applyAlignment="1">
      <alignment horizontal="center" vertical="center"/>
    </xf>
    <xf numFmtId="0" fontId="18" fillId="0" borderId="12" xfId="67" applyFont="1" applyBorder="1" applyAlignment="1">
      <alignment horizontal="center" vertical="center"/>
    </xf>
    <xf numFmtId="172" fontId="3" fillId="0" borderId="11" xfId="67" applyNumberFormat="1" applyFont="1" applyBorder="1" applyAlignment="1">
      <alignment horizontal="center" vertical="center"/>
    </xf>
    <xf numFmtId="1" fontId="3" fillId="4" borderId="13" xfId="67" applyNumberFormat="1" applyFont="1" applyFill="1" applyBorder="1" applyAlignment="1">
      <alignment horizontal="center" vertical="center"/>
    </xf>
    <xf numFmtId="1" fontId="3" fillId="4" borderId="14" xfId="67" applyNumberFormat="1" applyFont="1" applyFill="1" applyBorder="1" applyAlignment="1">
      <alignment horizontal="center" vertical="center"/>
    </xf>
    <xf numFmtId="1" fontId="3" fillId="5" borderId="14" xfId="67" applyNumberFormat="1" applyFont="1" applyFill="1" applyBorder="1" applyAlignment="1">
      <alignment horizontal="center" vertical="center"/>
    </xf>
    <xf numFmtId="1" fontId="3" fillId="5" borderId="15" xfId="67" applyNumberFormat="1" applyFont="1" applyFill="1" applyBorder="1" applyAlignment="1">
      <alignment horizontal="center" vertical="center"/>
    </xf>
    <xf numFmtId="1" fontId="3" fillId="4" borderId="16" xfId="67" applyNumberFormat="1" applyFont="1" applyFill="1" applyBorder="1" applyAlignment="1">
      <alignment horizontal="center" vertical="center"/>
    </xf>
    <xf numFmtId="1" fontId="3" fillId="4" borderId="17" xfId="67" applyNumberFormat="1" applyFont="1" applyFill="1" applyBorder="1" applyAlignment="1">
      <alignment horizontal="center" vertical="center"/>
    </xf>
    <xf numFmtId="1" fontId="3" fillId="5" borderId="17" xfId="67" applyNumberFormat="1" applyFont="1" applyFill="1" applyBorder="1" applyAlignment="1">
      <alignment horizontal="center" vertical="center"/>
    </xf>
    <xf numFmtId="1" fontId="3" fillId="5" borderId="18" xfId="67" applyNumberFormat="1" applyFont="1" applyFill="1" applyBorder="1" applyAlignment="1">
      <alignment horizontal="center" vertical="center"/>
    </xf>
    <xf numFmtId="172" fontId="18" fillId="0" borderId="11" xfId="67" applyNumberFormat="1" applyFont="1" applyBorder="1" applyAlignment="1">
      <alignment horizontal="center" vertical="center"/>
    </xf>
    <xf numFmtId="1" fontId="3" fillId="4" borderId="19" xfId="67" applyNumberFormat="1" applyFont="1" applyFill="1" applyBorder="1" applyAlignment="1">
      <alignment horizontal="center" vertical="center"/>
    </xf>
    <xf numFmtId="1" fontId="3" fillId="4" borderId="20" xfId="67" applyNumberFormat="1" applyFont="1" applyFill="1" applyBorder="1" applyAlignment="1">
      <alignment horizontal="center" vertical="center"/>
    </xf>
    <xf numFmtId="1" fontId="3" fillId="5" borderId="20" xfId="67" applyNumberFormat="1" applyFont="1" applyFill="1" applyBorder="1" applyAlignment="1">
      <alignment horizontal="center" vertical="center"/>
    </xf>
    <xf numFmtId="1" fontId="3" fillId="5" borderId="21" xfId="67" applyNumberFormat="1" applyFont="1" applyFill="1" applyBorder="1" applyAlignment="1">
      <alignment horizontal="center" vertical="center"/>
    </xf>
    <xf numFmtId="0" fontId="10" fillId="0" borderId="0" xfId="67" applyFont="1" applyAlignment="1">
      <alignment horizontal="center" vertical="center" textRotation="90" wrapText="1"/>
    </xf>
    <xf numFmtId="172" fontId="10" fillId="0" borderId="0" xfId="67" applyNumberFormat="1" applyFont="1" applyAlignment="1">
      <alignment horizontal="center" vertical="center"/>
    </xf>
    <xf numFmtId="1" fontId="10" fillId="0" borderId="0" xfId="67" applyNumberFormat="1" applyFont="1" applyAlignment="1">
      <alignment horizontal="center" vertical="center"/>
    </xf>
    <xf numFmtId="171" fontId="3" fillId="2" borderId="6" xfId="67" applyNumberFormat="1" applyFont="1" applyFill="1" applyBorder="1" applyAlignment="1">
      <alignment horizontal="center" vertical="center"/>
    </xf>
    <xf numFmtId="171" fontId="17" fillId="2" borderId="6" xfId="67" applyNumberFormat="1" applyFont="1" applyFill="1" applyBorder="1" applyAlignment="1">
      <alignment horizontal="center" vertical="center"/>
    </xf>
    <xf numFmtId="171" fontId="18" fillId="2" borderId="6" xfId="67" applyNumberFormat="1" applyFont="1" applyFill="1" applyBorder="1" applyAlignment="1">
      <alignment horizontal="center" vertical="center"/>
    </xf>
    <xf numFmtId="171" fontId="17" fillId="0" borderId="12" xfId="67" applyNumberFormat="1" applyFont="1" applyBorder="1" applyAlignment="1">
      <alignment horizontal="center" vertical="center"/>
    </xf>
    <xf numFmtId="171" fontId="18" fillId="0" borderId="12" xfId="67" applyNumberFormat="1" applyFont="1" applyBorder="1" applyAlignment="1">
      <alignment horizontal="center" vertical="center"/>
    </xf>
    <xf numFmtId="171" fontId="3" fillId="0" borderId="12" xfId="67" applyNumberFormat="1" applyFont="1" applyBorder="1" applyAlignment="1">
      <alignment horizontal="center" vertical="center"/>
    </xf>
    <xf numFmtId="0" fontId="4" fillId="6" borderId="0" xfId="67" applyFill="1"/>
    <xf numFmtId="0" fontId="4" fillId="6" borderId="0" xfId="32" applyFill="1"/>
    <xf numFmtId="172" fontId="4" fillId="6" borderId="0" xfId="32" applyNumberFormat="1" applyFill="1" applyAlignment="1">
      <alignment horizontal="center"/>
    </xf>
    <xf numFmtId="0" fontId="6" fillId="6" borderId="0" xfId="67" applyFont="1" applyFill="1"/>
    <xf numFmtId="3" fontId="4" fillId="6" borderId="0" xfId="32" applyNumberFormat="1" applyFill="1"/>
    <xf numFmtId="0" fontId="19" fillId="6" borderId="0" xfId="32" applyFont="1" applyFill="1"/>
    <xf numFmtId="0" fontId="20" fillId="6" borderId="0" xfId="67" applyFont="1" applyFill="1"/>
    <xf numFmtId="0" fontId="4" fillId="6" borderId="0" xfId="37" applyFill="1"/>
    <xf numFmtId="167" fontId="4" fillId="6" borderId="0" xfId="67" applyNumberFormat="1" applyFill="1" applyAlignment="1">
      <alignment horizontal="right"/>
    </xf>
    <xf numFmtId="174" fontId="4" fillId="6" borderId="0" xfId="67" applyNumberFormat="1" applyFill="1" applyAlignment="1">
      <alignment horizontal="right"/>
    </xf>
    <xf numFmtId="0" fontId="19" fillId="6" borderId="36" xfId="32" applyFont="1" applyFill="1" applyBorder="1"/>
    <xf numFmtId="0" fontId="19" fillId="6" borderId="36" xfId="37" applyFont="1" applyFill="1" applyBorder="1" applyAlignment="1">
      <alignment horizontal="center" wrapText="1"/>
    </xf>
    <xf numFmtId="0" fontId="4" fillId="6" borderId="0" xfId="67" applyFill="1" applyAlignment="1">
      <alignment horizontal="left" vertical="center"/>
    </xf>
    <xf numFmtId="0" fontId="3" fillId="6" borderId="0" xfId="67" applyFont="1" applyFill="1" applyAlignment="1">
      <alignment horizontal="left" vertical="center"/>
    </xf>
    <xf numFmtId="0" fontId="4" fillId="6" borderId="0" xfId="67" applyFill="1" applyAlignment="1">
      <alignment horizontal="left" vertical="center" wrapText="1"/>
    </xf>
    <xf numFmtId="0" fontId="3" fillId="6" borderId="0" xfId="67" applyFont="1" applyFill="1" applyAlignment="1">
      <alignment horizontal="left" vertical="center" wrapText="1"/>
    </xf>
    <xf numFmtId="0" fontId="3" fillId="6" borderId="39" xfId="0" applyFont="1" applyFill="1" applyBorder="1" applyAlignment="1" applyProtection="1">
      <alignment horizontal="left" wrapText="1"/>
      <protection hidden="1"/>
    </xf>
    <xf numFmtId="174" fontId="3" fillId="6" borderId="28" xfId="67" applyNumberFormat="1" applyFont="1" applyFill="1" applyBorder="1" applyAlignment="1">
      <alignment horizontal="right"/>
    </xf>
    <xf numFmtId="0" fontId="2" fillId="0" borderId="0" xfId="123"/>
    <xf numFmtId="2" fontId="18" fillId="0" borderId="11" xfId="67" applyNumberFormat="1" applyFont="1" applyBorder="1" applyAlignment="1">
      <alignment horizontal="center" vertical="center"/>
    </xf>
    <xf numFmtId="172" fontId="3" fillId="5" borderId="17" xfId="67" applyNumberFormat="1" applyFont="1" applyFill="1" applyBorder="1" applyAlignment="1">
      <alignment horizontal="center" vertical="center"/>
    </xf>
    <xf numFmtId="0" fontId="1" fillId="6" borderId="0" xfId="0" applyFont="1" applyFill="1"/>
    <xf numFmtId="0" fontId="24" fillId="0" borderId="22" xfId="123" applyFont="1" applyBorder="1"/>
    <xf numFmtId="0" fontId="24" fillId="0" borderId="0" xfId="123" applyFont="1"/>
    <xf numFmtId="0" fontId="24" fillId="0" borderId="10" xfId="123" applyFont="1" applyBorder="1"/>
    <xf numFmtId="1" fontId="24" fillId="0" borderId="10" xfId="123" applyNumberFormat="1" applyFont="1" applyBorder="1"/>
    <xf numFmtId="1" fontId="24" fillId="0" borderId="0" xfId="123" applyNumberFormat="1" applyFont="1"/>
    <xf numFmtId="0" fontId="24" fillId="0" borderId="5" xfId="123" applyFont="1" applyBorder="1"/>
    <xf numFmtId="1" fontId="24" fillId="0" borderId="4" xfId="123" applyNumberFormat="1" applyFont="1" applyBorder="1"/>
    <xf numFmtId="0" fontId="24" fillId="0" borderId="2" xfId="123" applyFont="1" applyBorder="1"/>
    <xf numFmtId="0" fontId="24" fillId="0" borderId="4" xfId="123" applyFont="1" applyBorder="1"/>
    <xf numFmtId="1" fontId="24" fillId="0" borderId="2" xfId="123" applyNumberFormat="1" applyFont="1" applyBorder="1"/>
    <xf numFmtId="0" fontId="3" fillId="0" borderId="11" xfId="67" applyFont="1" applyBorder="1" applyAlignment="1">
      <alignment horizontal="center" vertical="center"/>
    </xf>
    <xf numFmtId="0" fontId="3" fillId="0" borderId="3" xfId="67" applyFont="1" applyBorder="1" applyAlignment="1">
      <alignment horizontal="center" vertical="center"/>
    </xf>
    <xf numFmtId="0" fontId="3" fillId="6" borderId="0" xfId="0" applyFont="1" applyFill="1" applyAlignment="1" applyProtection="1">
      <alignment horizontal="center" wrapText="1"/>
      <protection hidden="1"/>
    </xf>
    <xf numFmtId="0" fontId="3" fillId="0" borderId="12" xfId="67" applyFont="1" applyBorder="1" applyAlignment="1">
      <alignment horizontal="center" vertical="center" textRotation="90" wrapText="1"/>
    </xf>
    <xf numFmtId="0" fontId="3" fillId="0" borderId="9" xfId="67" applyFont="1" applyBorder="1" applyAlignment="1">
      <alignment horizontal="center" vertical="center" textRotation="90" wrapText="1"/>
    </xf>
    <xf numFmtId="0" fontId="3" fillId="0" borderId="40" xfId="67" applyFont="1" applyBorder="1" applyAlignment="1">
      <alignment horizontal="center" vertical="center" textRotation="90" wrapText="1"/>
    </xf>
    <xf numFmtId="0" fontId="3" fillId="0" borderId="11" xfId="67" applyFont="1" applyBorder="1" applyAlignment="1">
      <alignment vertical="center" wrapText="1"/>
    </xf>
    <xf numFmtId="0" fontId="3" fillId="0" borderId="3" xfId="67" applyFont="1" applyBorder="1" applyAlignment="1">
      <alignment vertical="center" wrapText="1"/>
    </xf>
    <xf numFmtId="0" fontId="3" fillId="0" borderId="1" xfId="67" applyFont="1" applyBorder="1" applyAlignment="1">
      <alignment horizontal="center" vertical="center"/>
    </xf>
    <xf numFmtId="0" fontId="3" fillId="6" borderId="39" xfId="0" applyFont="1" applyFill="1" applyBorder="1" applyAlignment="1" applyProtection="1">
      <alignment horizontal="left" wrapText="1"/>
      <protection hidden="1"/>
    </xf>
    <xf numFmtId="0" fontId="25" fillId="12" borderId="29" xfId="123" applyFont="1" applyFill="1" applyBorder="1" applyAlignment="1">
      <alignment horizontal="center"/>
    </xf>
    <xf numFmtId="0" fontId="25" fillId="12" borderId="24" xfId="123" applyFont="1" applyFill="1" applyBorder="1" applyAlignment="1">
      <alignment horizontal="center"/>
    </xf>
    <xf numFmtId="0" fontId="25" fillId="12" borderId="23" xfId="123" applyFont="1" applyFill="1" applyBorder="1" applyAlignment="1">
      <alignment horizontal="center"/>
    </xf>
    <xf numFmtId="0" fontId="23" fillId="12" borderId="29" xfId="123" applyFont="1" applyFill="1" applyBorder="1" applyAlignment="1">
      <alignment horizontal="center"/>
    </xf>
    <xf numFmtId="0" fontId="23" fillId="12" borderId="24" xfId="123" applyFont="1" applyFill="1" applyBorder="1" applyAlignment="1">
      <alignment horizontal="center"/>
    </xf>
    <xf numFmtId="0" fontId="23" fillId="12" borderId="23" xfId="123" applyFont="1" applyFill="1" applyBorder="1" applyAlignment="1">
      <alignment horizontal="center"/>
    </xf>
    <xf numFmtId="0" fontId="3" fillId="6" borderId="0" xfId="67" applyFont="1" applyFill="1" applyAlignment="1">
      <alignment horizontal="right"/>
    </xf>
    <xf numFmtId="0" fontId="4" fillId="6" borderId="0" xfId="67" applyFill="1" applyAlignment="1">
      <alignment horizontal="right"/>
    </xf>
    <xf numFmtId="15" fontId="4" fillId="6" borderId="0" xfId="37" applyNumberFormat="1" applyFill="1" applyAlignment="1">
      <alignment horizontal="right"/>
    </xf>
    <xf numFmtId="0" fontId="19" fillId="6" borderId="36" xfId="32" applyFont="1" applyFill="1" applyBorder="1" applyAlignment="1">
      <alignment horizontal="right"/>
    </xf>
    <xf numFmtId="173" fontId="21" fillId="6" borderId="0" xfId="32" applyNumberFormat="1" applyFont="1" applyFill="1" applyAlignment="1" applyProtection="1">
      <alignment horizontal="right"/>
      <protection locked="0"/>
    </xf>
    <xf numFmtId="0" fontId="4" fillId="6" borderId="0" xfId="67" applyFill="1" applyAlignment="1" applyProtection="1">
      <alignment horizontal="right"/>
      <protection locked="0"/>
    </xf>
    <xf numFmtId="173" fontId="21" fillId="6" borderId="0" xfId="37" applyNumberFormat="1" applyFont="1" applyFill="1" applyAlignment="1" applyProtection="1">
      <alignment horizontal="right"/>
      <protection locked="0"/>
    </xf>
    <xf numFmtId="173" fontId="19" fillId="6" borderId="0" xfId="32" applyNumberFormat="1" applyFont="1" applyFill="1" applyAlignment="1">
      <alignment horizontal="right"/>
    </xf>
    <xf numFmtId="0" fontId="3" fillId="6" borderId="39" xfId="0" applyFont="1" applyFill="1" applyBorder="1" applyAlignment="1" applyProtection="1">
      <alignment horizontal="right" wrapText="1"/>
      <protection hidden="1"/>
    </xf>
    <xf numFmtId="14" fontId="3" fillId="6" borderId="0" xfId="67" applyNumberFormat="1" applyFont="1" applyFill="1" applyAlignment="1">
      <alignment horizontal="right"/>
    </xf>
    <xf numFmtId="167" fontId="3" fillId="6" borderId="0" xfId="67" applyNumberFormat="1" applyFont="1" applyFill="1" applyAlignment="1">
      <alignment horizontal="right"/>
    </xf>
    <xf numFmtId="167" fontId="18" fillId="6" borderId="0" xfId="67" applyNumberFormat="1" applyFont="1" applyFill="1" applyAlignment="1" applyProtection="1">
      <alignment horizontal="right"/>
      <protection locked="0"/>
    </xf>
    <xf numFmtId="167" fontId="4" fillId="6" borderId="0" xfId="67" applyNumberFormat="1" applyFill="1" applyAlignment="1">
      <alignment horizontal="right" vertical="center"/>
    </xf>
    <xf numFmtId="0" fontId="3" fillId="6" borderId="0" xfId="67" applyFont="1" applyFill="1" applyAlignment="1">
      <alignment horizontal="right" vertical="center"/>
    </xf>
    <xf numFmtId="0" fontId="4" fillId="6" borderId="0" xfId="67" applyFill="1" applyAlignment="1">
      <alignment horizontal="right" vertical="center"/>
    </xf>
    <xf numFmtId="2" fontId="4" fillId="6" borderId="0" xfId="67" applyNumberFormat="1" applyFill="1" applyAlignment="1">
      <alignment horizontal="right" vertical="center"/>
    </xf>
    <xf numFmtId="167" fontId="4" fillId="6" borderId="0" xfId="67" applyNumberFormat="1" applyFill="1" applyAlignment="1">
      <alignment horizontal="right" vertical="center" wrapText="1"/>
    </xf>
    <xf numFmtId="0" fontId="4" fillId="6" borderId="0" xfId="67" applyFill="1" applyAlignment="1">
      <alignment horizontal="center"/>
    </xf>
    <xf numFmtId="0" fontId="4" fillId="0" borderId="0" xfId="67" applyAlignment="1">
      <alignment horizontal="center"/>
    </xf>
    <xf numFmtId="0" fontId="26" fillId="10" borderId="11" xfId="32" applyFont="1" applyFill="1" applyBorder="1" applyAlignment="1" applyProtection="1">
      <alignment horizontal="left" wrapText="1"/>
      <protection hidden="1"/>
    </xf>
    <xf numFmtId="0" fontId="26" fillId="10" borderId="1" xfId="32" applyFont="1" applyFill="1" applyBorder="1" applyAlignment="1" applyProtection="1">
      <alignment wrapText="1"/>
      <protection hidden="1"/>
    </xf>
    <xf numFmtId="0" fontId="27" fillId="2" borderId="26" xfId="0" applyFont="1" applyFill="1" applyBorder="1" applyAlignment="1">
      <alignment wrapText="1"/>
    </xf>
    <xf numFmtId="182" fontId="27" fillId="2" borderId="41" xfId="0" applyNumberFormat="1" applyFont="1" applyFill="1" applyBorder="1"/>
    <xf numFmtId="182" fontId="27" fillId="2" borderId="27" xfId="0" applyNumberFormat="1" applyFont="1" applyFill="1" applyBorder="1"/>
    <xf numFmtId="182" fontId="27" fillId="2" borderId="42" xfId="0" applyNumberFormat="1" applyFont="1" applyFill="1" applyBorder="1"/>
    <xf numFmtId="0" fontId="27" fillId="2" borderId="44" xfId="0" applyFont="1" applyFill="1" applyBorder="1" applyAlignment="1">
      <alignment wrapText="1"/>
    </xf>
    <xf numFmtId="182" fontId="27" fillId="2" borderId="9" xfId="0" applyNumberFormat="1" applyFont="1" applyFill="1" applyBorder="1"/>
    <xf numFmtId="182" fontId="27" fillId="2" borderId="0" xfId="0" applyNumberFormat="1" applyFont="1" applyFill="1"/>
    <xf numFmtId="182" fontId="27" fillId="2" borderId="10" xfId="0" applyNumberFormat="1" applyFont="1" applyFill="1" applyBorder="1"/>
    <xf numFmtId="0" fontId="28" fillId="6" borderId="29" xfId="32" applyFont="1" applyFill="1" applyBorder="1" applyAlignment="1">
      <alignment vertical="center"/>
    </xf>
    <xf numFmtId="0" fontId="29" fillId="6" borderId="22" xfId="32" applyFont="1" applyFill="1" applyBorder="1" applyAlignment="1">
      <alignment vertical="center"/>
    </xf>
    <xf numFmtId="0" fontId="29" fillId="6" borderId="5" xfId="32" applyFont="1" applyFill="1" applyBorder="1" applyAlignment="1">
      <alignment vertical="center"/>
    </xf>
    <xf numFmtId="0" fontId="30" fillId="10" borderId="1" xfId="32" applyFont="1" applyFill="1" applyBorder="1" applyAlignment="1">
      <alignment wrapText="1"/>
    </xf>
    <xf numFmtId="0" fontId="28" fillId="10" borderId="1" xfId="0" applyFont="1" applyFill="1" applyBorder="1" applyProtection="1">
      <protection hidden="1"/>
    </xf>
    <xf numFmtId="0" fontId="28" fillId="10" borderId="3" xfId="0" applyFont="1" applyFill="1" applyBorder="1" applyProtection="1">
      <protection hidden="1"/>
    </xf>
    <xf numFmtId="0" fontId="29" fillId="0" borderId="0" xfId="0" applyFont="1" applyProtection="1">
      <protection hidden="1"/>
    </xf>
    <xf numFmtId="0" fontId="28" fillId="0" borderId="5" xfId="0" applyFont="1" applyBorder="1" applyAlignment="1" applyProtection="1">
      <alignment horizontal="left"/>
      <protection hidden="1"/>
    </xf>
    <xf numFmtId="0" fontId="28" fillId="0" borderId="4" xfId="0" applyFont="1" applyBorder="1" applyAlignment="1" applyProtection="1">
      <alignment horizontal="left"/>
      <protection hidden="1"/>
    </xf>
    <xf numFmtId="0" fontId="29" fillId="0" borderId="4" xfId="0" applyFont="1" applyBorder="1" applyProtection="1">
      <protection hidden="1"/>
    </xf>
    <xf numFmtId="0" fontId="29" fillId="0" borderId="2" xfId="0" applyFont="1" applyBorder="1" applyProtection="1">
      <protection hidden="1"/>
    </xf>
    <xf numFmtId="0" fontId="28" fillId="11" borderId="11" xfId="0" applyFont="1" applyFill="1" applyBorder="1" applyAlignment="1" applyProtection="1">
      <alignment horizontal="left" wrapText="1"/>
      <protection hidden="1"/>
    </xf>
    <xf numFmtId="0" fontId="29" fillId="11" borderId="1" xfId="0" applyFont="1" applyFill="1" applyBorder="1" applyAlignment="1">
      <alignment horizontal="left" wrapText="1"/>
    </xf>
    <xf numFmtId="0" fontId="28" fillId="11" borderId="1" xfId="0" applyFont="1" applyFill="1" applyBorder="1" applyProtection="1">
      <protection hidden="1"/>
    </xf>
    <xf numFmtId="182" fontId="28" fillId="11" borderId="1" xfId="0" applyNumberFormat="1" applyFont="1" applyFill="1" applyBorder="1" applyAlignment="1" applyProtection="1">
      <alignment horizontal="left"/>
      <protection hidden="1"/>
    </xf>
    <xf numFmtId="0" fontId="29" fillId="11" borderId="1" xfId="0" applyFont="1" applyFill="1" applyBorder="1" applyProtection="1">
      <protection hidden="1"/>
    </xf>
    <xf numFmtId="0" fontId="29" fillId="11" borderId="3" xfId="0" applyFont="1" applyFill="1" applyBorder="1" applyProtection="1">
      <protection hidden="1"/>
    </xf>
    <xf numFmtId="0" fontId="28" fillId="0" borderId="11" xfId="0" applyFont="1" applyBorder="1" applyAlignment="1" applyProtection="1">
      <alignment horizontal="left"/>
      <protection hidden="1"/>
    </xf>
    <xf numFmtId="0" fontId="28" fillId="0" borderId="1" xfId="0" applyFont="1" applyBorder="1" applyAlignment="1" applyProtection="1">
      <alignment horizontal="left"/>
      <protection hidden="1"/>
    </xf>
    <xf numFmtId="0" fontId="28" fillId="0" borderId="1" xfId="0" applyFont="1" applyBorder="1" applyAlignment="1" applyProtection="1">
      <alignment horizontal="centerContinuous"/>
      <protection hidden="1"/>
    </xf>
    <xf numFmtId="0" fontId="29" fillId="0" borderId="1" xfId="0" applyFont="1" applyBorder="1" applyAlignment="1" applyProtection="1">
      <alignment horizontal="centerContinuous"/>
      <protection hidden="1"/>
    </xf>
    <xf numFmtId="0" fontId="31" fillId="0" borderId="1" xfId="0" applyFont="1" applyBorder="1" applyProtection="1">
      <protection hidden="1"/>
    </xf>
    <xf numFmtId="0" fontId="29" fillId="0" borderId="3" xfId="0" applyFont="1" applyBorder="1" applyProtection="1">
      <protection hidden="1"/>
    </xf>
    <xf numFmtId="0" fontId="28" fillId="0" borderId="11" xfId="32" applyFont="1" applyBorder="1" applyAlignment="1" applyProtection="1">
      <alignment horizontal="left"/>
      <protection hidden="1"/>
    </xf>
    <xf numFmtId="170" fontId="28" fillId="2" borderId="6" xfId="76" applyNumberFormat="1" applyFont="1" applyFill="1" applyBorder="1" applyProtection="1">
      <protection hidden="1"/>
    </xf>
    <xf numFmtId="0" fontId="28" fillId="11" borderId="11" xfId="32" applyFont="1" applyFill="1" applyBorder="1" applyAlignment="1" applyProtection="1">
      <alignment horizontal="left"/>
      <protection hidden="1"/>
    </xf>
    <xf numFmtId="0" fontId="28" fillId="11" borderId="1" xfId="0" applyFont="1" applyFill="1" applyBorder="1" applyAlignment="1" applyProtection="1">
      <alignment horizontal="left"/>
      <protection hidden="1"/>
    </xf>
    <xf numFmtId="168" fontId="28" fillId="11" borderId="3" xfId="0" applyNumberFormat="1" applyFont="1" applyFill="1" applyBorder="1" applyAlignment="1" applyProtection="1">
      <alignment horizontal="left"/>
      <protection hidden="1"/>
    </xf>
    <xf numFmtId="182" fontId="28" fillId="11" borderId="6" xfId="0" applyNumberFormat="1" applyFont="1" applyFill="1" applyBorder="1" applyAlignment="1" applyProtection="1">
      <alignment horizontal="right"/>
      <protection hidden="1"/>
    </xf>
    <xf numFmtId="0" fontId="28" fillId="0" borderId="22" xfId="0" applyFont="1" applyBorder="1" applyAlignment="1" applyProtection="1">
      <alignment horizontal="left"/>
      <protection hidden="1"/>
    </xf>
    <xf numFmtId="0" fontId="28" fillId="0" borderId="0" xfId="0" applyFont="1" applyAlignment="1" applyProtection="1">
      <alignment horizontal="left"/>
      <protection hidden="1"/>
    </xf>
    <xf numFmtId="182" fontId="28" fillId="2" borderId="6" xfId="0" applyNumberFormat="1" applyFont="1" applyFill="1" applyBorder="1" applyAlignment="1" applyProtection="1">
      <alignment horizontal="right"/>
      <protection hidden="1"/>
    </xf>
    <xf numFmtId="0" fontId="26" fillId="10" borderId="11" xfId="32" applyFont="1" applyFill="1" applyBorder="1" applyAlignment="1" applyProtection="1">
      <alignment horizontal="left" wrapText="1" readingOrder="1"/>
      <protection hidden="1"/>
    </xf>
    <xf numFmtId="0" fontId="26" fillId="10" borderId="1" xfId="32" applyFont="1" applyFill="1" applyBorder="1" applyAlignment="1" applyProtection="1">
      <alignment horizontal="left" wrapText="1" readingOrder="1"/>
      <protection hidden="1"/>
    </xf>
    <xf numFmtId="0" fontId="26" fillId="10" borderId="3" xfId="32" applyFont="1" applyFill="1" applyBorder="1" applyAlignment="1" applyProtection="1">
      <alignment horizontal="left" wrapText="1" readingOrder="1"/>
      <protection hidden="1"/>
    </xf>
    <xf numFmtId="182" fontId="29" fillId="10" borderId="6" xfId="0" applyNumberFormat="1" applyFont="1" applyFill="1" applyBorder="1" applyProtection="1">
      <protection hidden="1"/>
    </xf>
    <xf numFmtId="0" fontId="28" fillId="0" borderId="27" xfId="32" applyFont="1" applyBorder="1" applyAlignment="1" applyProtection="1">
      <alignment horizontal="left"/>
      <protection hidden="1"/>
    </xf>
    <xf numFmtId="182" fontId="28" fillId="0" borderId="7" xfId="76" applyNumberFormat="1" applyFont="1" applyBorder="1" applyProtection="1">
      <protection hidden="1"/>
    </xf>
    <xf numFmtId="0" fontId="28" fillId="0" borderId="28" xfId="32" applyFont="1" applyBorder="1" applyAlignment="1" applyProtection="1">
      <alignment horizontal="left"/>
      <protection hidden="1"/>
    </xf>
    <xf numFmtId="182" fontId="28" fillId="0" borderId="8" xfId="76" applyNumberFormat="1" applyFont="1" applyBorder="1" applyProtection="1">
      <protection hidden="1"/>
    </xf>
    <xf numFmtId="0" fontId="28" fillId="11" borderId="11" xfId="32" applyFont="1" applyFill="1" applyBorder="1" applyAlignment="1" applyProtection="1">
      <alignment horizontal="left" wrapText="1"/>
      <protection hidden="1"/>
    </xf>
    <xf numFmtId="0" fontId="28" fillId="11" borderId="1" xfId="32" applyFont="1" applyFill="1" applyBorder="1" applyAlignment="1" applyProtection="1">
      <alignment horizontal="left" wrapText="1"/>
      <protection hidden="1"/>
    </xf>
    <xf numFmtId="0" fontId="28" fillId="11" borderId="3" xfId="32" applyFont="1" applyFill="1" applyBorder="1" applyAlignment="1" applyProtection="1">
      <alignment horizontal="left" wrapText="1"/>
      <protection hidden="1"/>
    </xf>
    <xf numFmtId="182" fontId="28" fillId="11" borderId="6" xfId="0" applyNumberFormat="1" applyFont="1" applyFill="1" applyBorder="1" applyProtection="1">
      <protection hidden="1"/>
    </xf>
    <xf numFmtId="0" fontId="28" fillId="2" borderId="22" xfId="32" applyFont="1" applyFill="1" applyBorder="1" applyAlignment="1" applyProtection="1">
      <alignment horizontal="left"/>
      <protection hidden="1"/>
    </xf>
    <xf numFmtId="0" fontId="28" fillId="2" borderId="0" xfId="32" applyFont="1" applyFill="1" applyAlignment="1" applyProtection="1">
      <alignment horizontal="left"/>
      <protection hidden="1"/>
    </xf>
    <xf numFmtId="182" fontId="28" fillId="2" borderId="9" xfId="0" applyNumberFormat="1" applyFont="1" applyFill="1" applyBorder="1" applyProtection="1">
      <protection hidden="1"/>
    </xf>
    <xf numFmtId="165" fontId="28" fillId="11" borderId="11" xfId="32" applyNumberFormat="1" applyFont="1" applyFill="1" applyBorder="1" applyAlignment="1" applyProtection="1">
      <alignment horizontal="left" wrapText="1"/>
      <protection hidden="1"/>
    </xf>
    <xf numFmtId="165" fontId="28" fillId="11" borderId="1" xfId="32" applyNumberFormat="1" applyFont="1" applyFill="1" applyBorder="1" applyAlignment="1" applyProtection="1">
      <alignment horizontal="left" wrapText="1"/>
      <protection hidden="1"/>
    </xf>
    <xf numFmtId="165" fontId="28" fillId="11" borderId="3" xfId="32" applyNumberFormat="1" applyFont="1" applyFill="1" applyBorder="1" applyAlignment="1" applyProtection="1">
      <alignment horizontal="left" wrapText="1"/>
      <protection hidden="1"/>
    </xf>
    <xf numFmtId="182" fontId="28" fillId="11" borderId="6" xfId="76" applyNumberFormat="1" applyFont="1" applyFill="1" applyBorder="1" applyProtection="1">
      <protection hidden="1"/>
    </xf>
    <xf numFmtId="0" fontId="28" fillId="0" borderId="22" xfId="32" applyFont="1" applyBorder="1" applyAlignment="1" applyProtection="1">
      <alignment horizontal="left"/>
      <protection hidden="1"/>
    </xf>
    <xf numFmtId="0" fontId="28" fillId="0" borderId="0" xfId="32" applyFont="1" applyAlignment="1" applyProtection="1">
      <alignment horizontal="left"/>
      <protection hidden="1"/>
    </xf>
    <xf numFmtId="182" fontId="28" fillId="0" borderId="9" xfId="0" applyNumberFormat="1" applyFont="1" applyBorder="1" applyProtection="1">
      <protection hidden="1"/>
    </xf>
    <xf numFmtId="0" fontId="29" fillId="11" borderId="1" xfId="32" applyFont="1" applyFill="1" applyBorder="1" applyAlignment="1">
      <alignment horizontal="left" wrapText="1"/>
    </xf>
    <xf numFmtId="0" fontId="29" fillId="11" borderId="3" xfId="32" applyFont="1" applyFill="1" applyBorder="1" applyAlignment="1">
      <alignment horizontal="left" wrapText="1"/>
    </xf>
    <xf numFmtId="0" fontId="29" fillId="0" borderId="0" xfId="0" applyFont="1"/>
    <xf numFmtId="0" fontId="28" fillId="11" borderId="11" xfId="0" applyFont="1" applyFill="1" applyBorder="1" applyAlignment="1" applyProtection="1">
      <alignment horizontal="left"/>
      <protection hidden="1"/>
    </xf>
    <xf numFmtId="0" fontId="26" fillId="10" borderId="11" xfId="0" applyFont="1" applyFill="1" applyBorder="1" applyAlignment="1" applyProtection="1">
      <alignment horizontal="left" wrapText="1"/>
      <protection hidden="1"/>
    </xf>
    <xf numFmtId="0" fontId="30" fillId="10" borderId="1" xfId="0" applyFont="1" applyFill="1" applyBorder="1" applyAlignment="1">
      <alignment horizontal="left" wrapText="1"/>
    </xf>
    <xf numFmtId="0" fontId="30" fillId="10" borderId="3" xfId="0" applyFont="1" applyFill="1" applyBorder="1" applyAlignment="1">
      <alignment horizontal="left" wrapText="1"/>
    </xf>
    <xf numFmtId="182" fontId="26" fillId="10" borderId="6" xfId="0" applyNumberFormat="1" applyFont="1" applyFill="1" applyBorder="1" applyProtection="1">
      <protection hidden="1"/>
    </xf>
    <xf numFmtId="0" fontId="26" fillId="10" borderId="11" xfId="0" applyFont="1" applyFill="1" applyBorder="1" applyAlignment="1" applyProtection="1">
      <alignment horizontal="left"/>
      <protection hidden="1"/>
    </xf>
    <xf numFmtId="0" fontId="26" fillId="10" borderId="1" xfId="0" applyFont="1" applyFill="1" applyBorder="1" applyAlignment="1" applyProtection="1">
      <alignment horizontal="left"/>
      <protection hidden="1"/>
    </xf>
    <xf numFmtId="0" fontId="30" fillId="10" borderId="3" xfId="0" applyFont="1" applyFill="1" applyBorder="1" applyProtection="1">
      <protection hidden="1"/>
    </xf>
    <xf numFmtId="182" fontId="29" fillId="0" borderId="0" xfId="0" applyNumberFormat="1" applyFont="1" applyProtection="1">
      <protection hidden="1"/>
    </xf>
    <xf numFmtId="0" fontId="29" fillId="0" borderId="27" xfId="0" applyFont="1" applyBorder="1" applyAlignment="1">
      <alignment wrapText="1"/>
    </xf>
    <xf numFmtId="0" fontId="29" fillId="0" borderId="30" xfId="0" applyFont="1" applyBorder="1" applyAlignment="1">
      <alignment wrapText="1"/>
    </xf>
    <xf numFmtId="0" fontId="29" fillId="6" borderId="24" xfId="32" applyFont="1" applyFill="1" applyBorder="1" applyProtection="1">
      <protection hidden="1"/>
    </xf>
    <xf numFmtId="0" fontId="29" fillId="6" borderId="23" xfId="32" applyFont="1" applyFill="1" applyBorder="1"/>
    <xf numFmtId="0" fontId="29" fillId="0" borderId="0" xfId="32" applyFont="1"/>
    <xf numFmtId="0" fontId="29" fillId="6" borderId="0" xfId="32" applyFont="1" applyFill="1" applyProtection="1">
      <protection hidden="1"/>
    </xf>
    <xf numFmtId="0" fontId="29" fillId="6" borderId="10" xfId="32" applyFont="1" applyFill="1" applyBorder="1"/>
    <xf numFmtId="0" fontId="29" fillId="6" borderId="4" xfId="32" applyFont="1" applyFill="1" applyBorder="1" applyProtection="1">
      <protection hidden="1"/>
    </xf>
    <xf numFmtId="0" fontId="29" fillId="6" borderId="2" xfId="32" applyFont="1" applyFill="1" applyBorder="1"/>
    <xf numFmtId="0" fontId="29" fillId="6" borderId="29" xfId="0" applyFont="1" applyFill="1" applyBorder="1" applyAlignment="1" applyProtection="1">
      <alignment horizontal="center" vertical="center"/>
      <protection hidden="1"/>
    </xf>
    <xf numFmtId="0" fontId="29" fillId="6" borderId="24" xfId="0" applyFont="1" applyFill="1" applyBorder="1" applyAlignment="1" applyProtection="1">
      <alignment horizontal="center" vertical="center"/>
      <protection hidden="1"/>
    </xf>
    <xf numFmtId="0" fontId="29" fillId="6" borderId="23" xfId="0" applyFont="1" applyFill="1" applyBorder="1" applyAlignment="1" applyProtection="1">
      <alignment horizontal="center" vertical="center"/>
      <protection hidden="1"/>
    </xf>
    <xf numFmtId="0" fontId="29" fillId="6" borderId="22" xfId="0" applyFont="1" applyFill="1" applyBorder="1" applyAlignment="1" applyProtection="1">
      <alignment horizontal="center" vertical="center"/>
      <protection hidden="1"/>
    </xf>
    <xf numFmtId="0" fontId="29" fillId="6" borderId="0" xfId="0" applyFont="1" applyFill="1" applyAlignment="1" applyProtection="1">
      <alignment horizontal="center" vertical="center"/>
      <protection hidden="1"/>
    </xf>
    <xf numFmtId="0" fontId="29" fillId="6" borderId="10" xfId="0" applyFont="1" applyFill="1" applyBorder="1" applyAlignment="1" applyProtection="1">
      <alignment horizontal="center" vertical="center"/>
      <protection hidden="1"/>
    </xf>
    <xf numFmtId="0" fontId="29" fillId="6" borderId="5" xfId="0" applyFont="1" applyFill="1" applyBorder="1" applyAlignment="1" applyProtection="1">
      <alignment horizontal="center" vertical="center"/>
      <protection hidden="1"/>
    </xf>
    <xf numFmtId="0" fontId="29" fillId="6" borderId="4" xfId="0" applyFont="1" applyFill="1" applyBorder="1" applyAlignment="1" applyProtection="1">
      <alignment horizontal="center" vertical="center"/>
      <protection hidden="1"/>
    </xf>
    <xf numFmtId="0" fontId="29" fillId="6" borderId="2" xfId="0" applyFont="1" applyFill="1" applyBorder="1" applyAlignment="1" applyProtection="1">
      <alignment horizontal="center" vertical="center"/>
      <protection hidden="1"/>
    </xf>
    <xf numFmtId="0" fontId="28" fillId="0" borderId="26" xfId="32" applyFont="1" applyBorder="1" applyAlignment="1" applyProtection="1">
      <alignment horizontal="left"/>
      <protection hidden="1"/>
    </xf>
    <xf numFmtId="0" fontId="28" fillId="0" borderId="25" xfId="32" applyFont="1" applyBorder="1" applyAlignment="1" applyProtection="1">
      <alignment horizontal="left"/>
      <protection hidden="1"/>
    </xf>
    <xf numFmtId="0" fontId="26" fillId="10" borderId="11" xfId="32" applyFont="1" applyFill="1" applyBorder="1" applyAlignment="1" applyProtection="1">
      <alignment horizontal="left" vertical="top" wrapText="1"/>
      <protection hidden="1"/>
    </xf>
    <xf numFmtId="0" fontId="30" fillId="10" borderId="1" xfId="32" applyFont="1" applyFill="1" applyBorder="1" applyAlignment="1">
      <alignment horizontal="left" vertical="top" wrapText="1"/>
    </xf>
    <xf numFmtId="170" fontId="28" fillId="0" borderId="0" xfId="0" applyNumberFormat="1" applyFont="1" applyProtection="1">
      <protection hidden="1"/>
    </xf>
    <xf numFmtId="167" fontId="28" fillId="0" borderId="0" xfId="0" applyNumberFormat="1" applyFont="1" applyAlignment="1" applyProtection="1">
      <alignment horizontal="right"/>
      <protection hidden="1"/>
    </xf>
    <xf numFmtId="0" fontId="32" fillId="0" borderId="0" xfId="48" applyFont="1" applyAlignment="1">
      <alignment horizontal="center"/>
    </xf>
    <xf numFmtId="0" fontId="26" fillId="10" borderId="29" xfId="32" applyFont="1" applyFill="1" applyBorder="1" applyAlignment="1" applyProtection="1">
      <alignment horizontal="left" wrapText="1" readingOrder="1"/>
      <protection hidden="1"/>
    </xf>
    <xf numFmtId="0" fontId="26" fillId="10" borderId="24" xfId="32" applyFont="1" applyFill="1" applyBorder="1" applyAlignment="1" applyProtection="1">
      <alignment horizontal="left" wrapText="1" readingOrder="1"/>
      <protection hidden="1"/>
    </xf>
    <xf numFmtId="0" fontId="32" fillId="0" borderId="0" xfId="48" applyFont="1"/>
    <xf numFmtId="0" fontId="28" fillId="0" borderId="17" xfId="32" applyFont="1" applyBorder="1" applyAlignment="1" applyProtection="1">
      <alignment horizontal="left"/>
      <protection hidden="1"/>
    </xf>
    <xf numFmtId="182" fontId="28" fillId="0" borderId="49" xfId="76" applyNumberFormat="1" applyFont="1" applyBorder="1" applyProtection="1">
      <protection hidden="1"/>
    </xf>
    <xf numFmtId="167" fontId="32" fillId="0" borderId="0" xfId="48" applyNumberFormat="1" applyFont="1"/>
    <xf numFmtId="182" fontId="28" fillId="0" borderId="50" xfId="76" applyNumberFormat="1" applyFont="1" applyBorder="1" applyProtection="1">
      <protection hidden="1"/>
    </xf>
    <xf numFmtId="167" fontId="28" fillId="0" borderId="0" xfId="0" applyNumberFormat="1" applyFont="1" applyProtection="1">
      <protection hidden="1"/>
    </xf>
    <xf numFmtId="167" fontId="29" fillId="0" borderId="0" xfId="0" applyNumberFormat="1" applyFont="1" applyProtection="1">
      <protection hidden="1"/>
    </xf>
    <xf numFmtId="0" fontId="28" fillId="11" borderId="17" xfId="32" applyFont="1" applyFill="1" applyBorder="1" applyAlignment="1" applyProtection="1">
      <alignment horizontal="left" wrapText="1"/>
      <protection hidden="1"/>
    </xf>
    <xf numFmtId="182" fontId="28" fillId="11" borderId="3" xfId="0" applyNumberFormat="1" applyFont="1" applyFill="1" applyBorder="1" applyProtection="1">
      <protection hidden="1"/>
    </xf>
    <xf numFmtId="0" fontId="30" fillId="0" borderId="0" xfId="0" applyFont="1" applyProtection="1">
      <protection hidden="1"/>
    </xf>
    <xf numFmtId="182" fontId="30" fillId="0" borderId="0" xfId="0" applyNumberFormat="1" applyFont="1" applyProtection="1">
      <protection hidden="1"/>
    </xf>
    <xf numFmtId="0" fontId="28" fillId="2" borderId="29" xfId="32" applyFont="1" applyFill="1" applyBorder="1" applyAlignment="1">
      <alignment vertical="center"/>
    </xf>
    <xf numFmtId="0" fontId="29" fillId="2" borderId="24" xfId="32" applyFont="1" applyFill="1" applyBorder="1" applyProtection="1">
      <protection hidden="1"/>
    </xf>
    <xf numFmtId="0" fontId="29" fillId="2" borderId="22" xfId="32" applyFont="1" applyFill="1" applyBorder="1" applyAlignment="1">
      <alignment vertical="center"/>
    </xf>
    <xf numFmtId="0" fontId="29" fillId="2" borderId="0" xfId="32" applyFont="1" applyFill="1" applyProtection="1">
      <protection hidden="1"/>
    </xf>
    <xf numFmtId="0" fontId="29" fillId="2" borderId="5" xfId="32" applyFont="1" applyFill="1" applyBorder="1" applyAlignment="1">
      <alignment vertical="center"/>
    </xf>
    <xf numFmtId="0" fontId="29" fillId="2" borderId="4" xfId="32" applyFont="1" applyFill="1" applyBorder="1" applyProtection="1">
      <protection hidden="1"/>
    </xf>
    <xf numFmtId="0" fontId="29" fillId="0" borderId="29" xfId="0" applyFont="1" applyBorder="1" applyAlignment="1" applyProtection="1">
      <alignment horizontal="center" vertical="center"/>
      <protection hidden="1"/>
    </xf>
    <xf numFmtId="0" fontId="29" fillId="0" borderId="24" xfId="0" applyFont="1" applyBorder="1" applyAlignment="1" applyProtection="1">
      <alignment horizontal="center" vertical="center"/>
      <protection hidden="1"/>
    </xf>
    <xf numFmtId="0" fontId="29" fillId="0" borderId="23" xfId="0" applyFont="1" applyBorder="1" applyAlignment="1" applyProtection="1">
      <alignment horizontal="center" vertical="center"/>
      <protection hidden="1"/>
    </xf>
    <xf numFmtId="0" fontId="29" fillId="0" borderId="22" xfId="0" applyFont="1" applyBorder="1" applyAlignment="1" applyProtection="1">
      <alignment horizontal="center" vertical="center"/>
      <protection hidden="1"/>
    </xf>
    <xf numFmtId="0" fontId="29" fillId="0" borderId="0" xfId="0" applyFont="1" applyAlignment="1" applyProtection="1">
      <alignment horizontal="center" vertical="center"/>
      <protection hidden="1"/>
    </xf>
    <xf numFmtId="0" fontId="29" fillId="0" borderId="10" xfId="0" applyFont="1" applyBorder="1" applyAlignment="1" applyProtection="1">
      <alignment horizontal="center" vertical="center"/>
      <protection hidden="1"/>
    </xf>
    <xf numFmtId="0" fontId="29" fillId="0" borderId="5" xfId="0" applyFont="1" applyBorder="1" applyAlignment="1" applyProtection="1">
      <alignment horizontal="center" vertical="center"/>
      <protection hidden="1"/>
    </xf>
    <xf numFmtId="0" fontId="29" fillId="0" borderId="4" xfId="0" applyFont="1" applyBorder="1" applyAlignment="1" applyProtection="1">
      <alignment horizontal="center" vertical="center"/>
      <protection hidden="1"/>
    </xf>
    <xf numFmtId="0" fontId="29" fillId="0" borderId="2" xfId="0" applyFont="1" applyBorder="1" applyAlignment="1" applyProtection="1">
      <alignment horizontal="center" vertical="center"/>
      <protection hidden="1"/>
    </xf>
    <xf numFmtId="0" fontId="26" fillId="10" borderId="11" xfId="32" applyFont="1" applyFill="1" applyBorder="1" applyAlignment="1" applyProtection="1">
      <alignment vertical="top" wrapText="1"/>
      <protection hidden="1"/>
    </xf>
    <xf numFmtId="0" fontId="30" fillId="10" borderId="1" xfId="32" applyFont="1" applyFill="1" applyBorder="1" applyAlignment="1">
      <alignment vertical="top" wrapText="1"/>
    </xf>
    <xf numFmtId="0" fontId="28" fillId="0" borderId="1" xfId="32" applyFont="1" applyBorder="1" applyAlignment="1" applyProtection="1">
      <alignment horizontal="left"/>
      <protection hidden="1"/>
    </xf>
    <xf numFmtId="170" fontId="28" fillId="2" borderId="6" xfId="0" applyNumberFormat="1" applyFont="1" applyFill="1" applyBorder="1" applyProtection="1">
      <protection hidden="1"/>
    </xf>
    <xf numFmtId="0" fontId="28" fillId="11" borderId="1" xfId="32" applyFont="1" applyFill="1" applyBorder="1" applyAlignment="1" applyProtection="1">
      <alignment horizontal="left"/>
      <protection hidden="1"/>
    </xf>
    <xf numFmtId="165" fontId="29" fillId="0" borderId="0" xfId="0" applyNumberFormat="1" applyFont="1" applyProtection="1">
      <protection hidden="1"/>
    </xf>
    <xf numFmtId="0" fontId="28" fillId="11" borderId="5" xfId="32" applyFont="1" applyFill="1" applyBorder="1" applyAlignment="1" applyProtection="1">
      <alignment horizontal="left" wrapText="1"/>
      <protection hidden="1"/>
    </xf>
    <xf numFmtId="165" fontId="28" fillId="11" borderId="11" xfId="32" applyNumberFormat="1" applyFont="1" applyFill="1" applyBorder="1" applyAlignment="1" applyProtection="1">
      <alignment wrapText="1"/>
      <protection hidden="1"/>
    </xf>
    <xf numFmtId="165" fontId="28" fillId="11" borderId="1" xfId="32" applyNumberFormat="1" applyFont="1" applyFill="1" applyBorder="1" applyAlignment="1" applyProtection="1">
      <alignment wrapText="1"/>
      <protection hidden="1"/>
    </xf>
    <xf numFmtId="165" fontId="28" fillId="0" borderId="0" xfId="0" applyNumberFormat="1" applyFont="1" applyProtection="1">
      <protection hidden="1"/>
    </xf>
    <xf numFmtId="0" fontId="30" fillId="10" borderId="1" xfId="32" applyFont="1" applyFill="1" applyBorder="1" applyAlignment="1">
      <alignment horizontal="left" wrapText="1"/>
    </xf>
    <xf numFmtId="0" fontId="26" fillId="10" borderId="11" xfId="32" applyFont="1" applyFill="1" applyBorder="1" applyAlignment="1" applyProtection="1">
      <alignment horizontal="left"/>
      <protection hidden="1"/>
    </xf>
    <xf numFmtId="0" fontId="26" fillId="10" borderId="1" xfId="32" applyFont="1" applyFill="1" applyBorder="1" applyAlignment="1" applyProtection="1">
      <alignment horizontal="left"/>
      <protection hidden="1"/>
    </xf>
    <xf numFmtId="0" fontId="27" fillId="2" borderId="27" xfId="0" applyFont="1" applyFill="1" applyBorder="1" applyAlignment="1">
      <alignment wrapText="1"/>
    </xf>
    <xf numFmtId="0" fontId="27" fillId="2" borderId="43" xfId="0" applyFont="1" applyFill="1" applyBorder="1" applyAlignment="1">
      <alignment wrapText="1"/>
    </xf>
    <xf numFmtId="0" fontId="27" fillId="2" borderId="39" xfId="0" applyFont="1" applyFill="1" applyBorder="1" applyAlignment="1">
      <alignment wrapText="1"/>
    </xf>
    <xf numFmtId="0" fontId="29" fillId="2" borderId="23" xfId="32" applyFont="1" applyFill="1" applyBorder="1" applyProtection="1">
      <protection hidden="1"/>
    </xf>
    <xf numFmtId="0" fontId="29" fillId="2" borderId="10" xfId="32" applyFont="1" applyFill="1" applyBorder="1" applyProtection="1">
      <protection hidden="1"/>
    </xf>
    <xf numFmtId="0" fontId="29" fillId="2" borderId="2" xfId="32" applyFont="1" applyFill="1" applyBorder="1" applyProtection="1">
      <protection hidden="1"/>
    </xf>
    <xf numFmtId="182" fontId="27" fillId="2" borderId="40" xfId="0" applyNumberFormat="1" applyFont="1" applyFill="1" applyBorder="1"/>
    <xf numFmtId="0" fontId="26" fillId="10" borderId="1" xfId="32" applyFont="1" applyFill="1" applyBorder="1" applyAlignment="1" applyProtection="1">
      <alignment horizontal="left" vertical="center"/>
      <protection hidden="1"/>
    </xf>
    <xf numFmtId="176" fontId="28" fillId="2" borderId="6" xfId="0" applyNumberFormat="1" applyFont="1" applyFill="1" applyBorder="1" applyProtection="1">
      <protection hidden="1"/>
    </xf>
    <xf numFmtId="0" fontId="26" fillId="10" borderId="23" xfId="32" applyFont="1" applyFill="1" applyBorder="1" applyAlignment="1" applyProtection="1">
      <alignment horizontal="left" wrapText="1" readingOrder="1"/>
      <protection hidden="1"/>
    </xf>
    <xf numFmtId="0" fontId="28" fillId="11" borderId="4" xfId="32" applyFont="1" applyFill="1" applyBorder="1" applyAlignment="1" applyProtection="1">
      <alignment horizontal="left" wrapText="1"/>
      <protection hidden="1"/>
    </xf>
    <xf numFmtId="0" fontId="28" fillId="11" borderId="2" xfId="32" applyFont="1" applyFill="1" applyBorder="1" applyAlignment="1" applyProtection="1">
      <alignment horizontal="left" wrapText="1"/>
      <protection hidden="1"/>
    </xf>
    <xf numFmtId="9" fontId="29" fillId="0" borderId="0" xfId="0" applyNumberFormat="1" applyFont="1" applyProtection="1">
      <protection hidden="1"/>
    </xf>
    <xf numFmtId="0" fontId="29" fillId="0" borderId="39" xfId="0" applyFont="1" applyBorder="1" applyAlignment="1">
      <alignment wrapText="1"/>
    </xf>
    <xf numFmtId="182" fontId="28" fillId="0" borderId="10" xfId="76" applyNumberFormat="1" applyFont="1" applyBorder="1" applyProtection="1">
      <protection hidden="1"/>
    </xf>
    <xf numFmtId="182" fontId="28" fillId="0" borderId="9" xfId="76" applyNumberFormat="1" applyFont="1" applyBorder="1" applyProtection="1">
      <protection hidden="1"/>
    </xf>
    <xf numFmtId="182" fontId="28" fillId="2" borderId="9" xfId="124" applyNumberFormat="1" applyFont="1" applyFill="1" applyBorder="1" applyProtection="1">
      <protection hidden="1"/>
    </xf>
    <xf numFmtId="182" fontId="27" fillId="2" borderId="4" xfId="0" applyNumberFormat="1" applyFont="1" applyFill="1" applyBorder="1"/>
    <xf numFmtId="0" fontId="28" fillId="0" borderId="3" xfId="0" applyFont="1" applyBorder="1" applyAlignment="1" applyProtection="1">
      <alignment horizontal="left"/>
      <protection hidden="1"/>
    </xf>
    <xf numFmtId="0" fontId="28" fillId="6" borderId="29" xfId="0" applyFont="1" applyFill="1" applyBorder="1" applyAlignment="1" applyProtection="1">
      <alignment horizontal="center" vertical="center"/>
      <protection hidden="1"/>
    </xf>
    <xf numFmtId="0" fontId="28" fillId="6" borderId="24" xfId="0" applyFont="1" applyFill="1" applyBorder="1" applyAlignment="1" applyProtection="1">
      <alignment horizontal="center" vertical="center"/>
      <protection hidden="1"/>
    </xf>
    <xf numFmtId="0" fontId="28" fillId="6" borderId="23" xfId="0" applyFont="1" applyFill="1" applyBorder="1" applyAlignment="1" applyProtection="1">
      <alignment horizontal="center" vertical="center"/>
      <protection hidden="1"/>
    </xf>
    <xf numFmtId="0" fontId="29" fillId="0" borderId="0" xfId="0" applyFont="1" applyAlignment="1" applyProtection="1">
      <alignment vertical="center"/>
      <protection hidden="1"/>
    </xf>
    <xf numFmtId="0" fontId="28" fillId="6" borderId="22" xfId="0" applyFont="1" applyFill="1" applyBorder="1" applyAlignment="1" applyProtection="1">
      <alignment horizontal="center" vertical="center"/>
      <protection hidden="1"/>
    </xf>
    <xf numFmtId="0" fontId="28" fillId="6" borderId="0" xfId="0" applyFont="1" applyFill="1" applyAlignment="1" applyProtection="1">
      <alignment horizontal="center" vertical="center"/>
      <protection hidden="1"/>
    </xf>
    <xf numFmtId="0" fontId="28" fillId="6" borderId="10" xfId="0" applyFont="1" applyFill="1" applyBorder="1" applyAlignment="1" applyProtection="1">
      <alignment horizontal="center" vertical="center"/>
      <protection hidden="1"/>
    </xf>
    <xf numFmtId="0" fontId="28" fillId="6" borderId="5" xfId="0" applyFont="1" applyFill="1" applyBorder="1" applyAlignment="1" applyProtection="1">
      <alignment horizontal="center" vertical="center"/>
      <protection hidden="1"/>
    </xf>
    <xf numFmtId="0" fontId="28" fillId="6" borderId="4" xfId="0" applyFont="1" applyFill="1" applyBorder="1" applyAlignment="1" applyProtection="1">
      <alignment horizontal="center" vertical="center"/>
      <protection hidden="1"/>
    </xf>
    <xf numFmtId="0" fontId="28" fillId="6" borderId="2" xfId="0" applyFont="1" applyFill="1" applyBorder="1" applyAlignment="1" applyProtection="1">
      <alignment horizontal="center" vertical="center"/>
      <protection hidden="1"/>
    </xf>
    <xf numFmtId="0" fontId="33" fillId="6" borderId="32" xfId="0" applyFont="1" applyFill="1" applyBorder="1"/>
    <xf numFmtId="0" fontId="26" fillId="10" borderId="31" xfId="0" applyFont="1" applyFill="1" applyBorder="1"/>
    <xf numFmtId="0" fontId="26" fillId="10" borderId="28" xfId="0" applyFont="1" applyFill="1" applyBorder="1" applyAlignment="1">
      <alignment horizontal="center" wrapText="1"/>
    </xf>
    <xf numFmtId="167" fontId="28" fillId="11" borderId="32" xfId="16" applyFont="1" applyFill="1" applyBorder="1" applyAlignment="1"/>
    <xf numFmtId="0" fontId="33" fillId="11" borderId="0" xfId="0" applyFont="1" applyFill="1"/>
    <xf numFmtId="0" fontId="33" fillId="11" borderId="0" xfId="0" applyFont="1" applyFill="1" applyAlignment="1">
      <alignment horizontal="center"/>
    </xf>
    <xf numFmtId="177" fontId="28" fillId="6" borderId="0" xfId="16" applyNumberFormat="1" applyFont="1" applyFill="1" applyBorder="1" applyAlignment="1">
      <alignment horizontal="center" vertical="center" wrapText="1"/>
    </xf>
    <xf numFmtId="0" fontId="35" fillId="0" borderId="0" xfId="0" applyFont="1"/>
    <xf numFmtId="1" fontId="28" fillId="6" borderId="0" xfId="16" applyNumberFormat="1" applyFont="1" applyFill="1" applyBorder="1" applyAlignment="1">
      <alignment horizontal="center" vertical="center" wrapText="1"/>
    </xf>
    <xf numFmtId="1" fontId="28" fillId="11" borderId="0" xfId="16" applyNumberFormat="1" applyFont="1" applyFill="1" applyBorder="1" applyAlignment="1">
      <alignment horizontal="center" vertical="center" wrapText="1"/>
    </xf>
    <xf numFmtId="0" fontId="33" fillId="11" borderId="32" xfId="0" applyFont="1" applyFill="1" applyBorder="1"/>
    <xf numFmtId="177" fontId="28" fillId="11" borderId="0" xfId="16" applyNumberFormat="1" applyFont="1" applyFill="1" applyBorder="1" applyAlignment="1"/>
    <xf numFmtId="177" fontId="28" fillId="11" borderId="0" xfId="16" applyNumberFormat="1" applyFont="1" applyFill="1" applyBorder="1" applyAlignment="1">
      <alignment horizontal="center"/>
    </xf>
    <xf numFmtId="177" fontId="28" fillId="6" borderId="33" xfId="16" applyNumberFormat="1" applyFont="1" applyFill="1" applyBorder="1" applyAlignment="1"/>
    <xf numFmtId="177" fontId="28" fillId="6" borderId="33" xfId="16" applyNumberFormat="1" applyFont="1" applyFill="1" applyBorder="1" applyAlignment="1">
      <alignment horizontal="center"/>
    </xf>
    <xf numFmtId="177" fontId="28" fillId="6" borderId="0" xfId="16" applyNumberFormat="1" applyFont="1" applyFill="1" applyBorder="1" applyAlignment="1"/>
    <xf numFmtId="177" fontId="28" fillId="6" borderId="0" xfId="16" applyNumberFormat="1" applyFont="1" applyFill="1" applyBorder="1" applyAlignment="1">
      <alignment horizontal="center"/>
    </xf>
    <xf numFmtId="177" fontId="28" fillId="11" borderId="34" xfId="16" applyNumberFormat="1" applyFont="1" applyFill="1" applyBorder="1" applyAlignment="1"/>
    <xf numFmtId="177" fontId="28" fillId="11" borderId="34" xfId="16" applyNumberFormat="1" applyFont="1" applyFill="1" applyBorder="1" applyAlignment="1">
      <alignment horizontal="center"/>
    </xf>
    <xf numFmtId="167" fontId="28" fillId="6" borderId="32" xfId="16" applyFont="1" applyFill="1" applyBorder="1" applyAlignment="1"/>
    <xf numFmtId="0" fontId="33" fillId="6" borderId="35" xfId="0" applyFont="1" applyFill="1" applyBorder="1"/>
    <xf numFmtId="177" fontId="33" fillId="6" borderId="36" xfId="0" applyNumberFormat="1" applyFont="1" applyFill="1" applyBorder="1"/>
    <xf numFmtId="177" fontId="33" fillId="6" borderId="36" xfId="0" applyNumberFormat="1" applyFont="1" applyFill="1" applyBorder="1" applyAlignment="1">
      <alignment horizontal="center"/>
    </xf>
    <xf numFmtId="177" fontId="33" fillId="6" borderId="0" xfId="0" applyNumberFormat="1" applyFont="1" applyFill="1"/>
    <xf numFmtId="177" fontId="33" fillId="6" borderId="0" xfId="0" applyNumberFormat="1" applyFont="1" applyFill="1" applyAlignment="1">
      <alignment horizontal="center"/>
    </xf>
    <xf numFmtId="173" fontId="33" fillId="6" borderId="0" xfId="0" applyNumberFormat="1" applyFont="1" applyFill="1" applyBorder="1"/>
    <xf numFmtId="0" fontId="33" fillId="7" borderId="37" xfId="0" applyFont="1" applyFill="1" applyBorder="1"/>
    <xf numFmtId="0" fontId="33" fillId="7" borderId="32" xfId="0" applyFont="1" applyFill="1" applyBorder="1"/>
    <xf numFmtId="0" fontId="33" fillId="7" borderId="0" xfId="0" applyFont="1" applyFill="1" applyAlignment="1">
      <alignment horizontal="center" wrapText="1"/>
    </xf>
    <xf numFmtId="167" fontId="28" fillId="8" borderId="22" xfId="16" applyFont="1" applyFill="1" applyBorder="1" applyAlignment="1"/>
    <xf numFmtId="167" fontId="28" fillId="9" borderId="22" xfId="17" applyFont="1" applyFill="1" applyBorder="1" applyAlignment="1"/>
    <xf numFmtId="0" fontId="28" fillId="9" borderId="22" xfId="32" applyFont="1" applyFill="1" applyBorder="1"/>
    <xf numFmtId="0" fontId="28" fillId="0" borderId="0" xfId="0" applyFont="1"/>
    <xf numFmtId="0" fontId="29" fillId="0" borderId="11" xfId="0" applyFont="1" applyBorder="1" applyAlignment="1">
      <alignment vertical="center" wrapText="1"/>
    </xf>
    <xf numFmtId="0" fontId="29" fillId="6" borderId="1" xfId="0" applyFont="1" applyFill="1" applyBorder="1" applyAlignment="1">
      <alignment vertical="center" wrapText="1"/>
    </xf>
    <xf numFmtId="0" fontId="29" fillId="6" borderId="3" xfId="0" applyFont="1" applyFill="1" applyBorder="1" applyAlignment="1">
      <alignment vertical="center" wrapText="1"/>
    </xf>
    <xf numFmtId="175" fontId="28" fillId="9" borderId="22" xfId="0" applyNumberFormat="1" applyFont="1" applyFill="1" applyBorder="1"/>
    <xf numFmtId="0" fontId="28" fillId="6" borderId="0" xfId="0" applyFont="1" applyFill="1"/>
    <xf numFmtId="0" fontId="28" fillId="6" borderId="30" xfId="0" applyFont="1" applyFill="1" applyBorder="1"/>
    <xf numFmtId="0" fontId="28" fillId="0" borderId="17" xfId="0" applyFont="1" applyBorder="1"/>
    <xf numFmtId="172" fontId="28" fillId="0" borderId="17" xfId="0" applyNumberFormat="1" applyFont="1" applyBorder="1" applyAlignment="1">
      <alignment horizontal="center"/>
    </xf>
    <xf numFmtId="172" fontId="28" fillId="6" borderId="0" xfId="16" applyNumberFormat="1" applyFont="1" applyFill="1" applyBorder="1" applyAlignment="1">
      <alignment horizontal="right" vertical="center" wrapText="1"/>
    </xf>
    <xf numFmtId="177" fontId="28" fillId="6" borderId="0" xfId="0" applyNumberFormat="1" applyFont="1" applyFill="1"/>
    <xf numFmtId="177" fontId="28" fillId="6" borderId="0" xfId="0" applyNumberFormat="1" applyFont="1" applyFill="1" applyAlignment="1">
      <alignment horizontal="center"/>
    </xf>
    <xf numFmtId="177" fontId="28" fillId="6" borderId="33" xfId="0" applyNumberFormat="1" applyFont="1" applyFill="1" applyBorder="1"/>
    <xf numFmtId="177" fontId="28" fillId="6" borderId="33" xfId="0" applyNumberFormat="1" applyFont="1" applyFill="1" applyBorder="1" applyAlignment="1">
      <alignment horizontal="center"/>
    </xf>
    <xf numFmtId="0" fontId="28" fillId="0" borderId="0" xfId="0" applyFont="1" applyAlignment="1">
      <alignment wrapText="1"/>
    </xf>
    <xf numFmtId="175" fontId="28" fillId="6" borderId="0" xfId="16" applyNumberFormat="1" applyFont="1" applyFill="1" applyBorder="1" applyAlignment="1"/>
    <xf numFmtId="175" fontId="28" fillId="0" borderId="0" xfId="0" applyNumberFormat="1" applyFont="1"/>
    <xf numFmtId="0" fontId="28" fillId="7" borderId="0" xfId="0" applyFont="1" applyFill="1" applyAlignment="1">
      <alignment vertical="center" wrapText="1"/>
    </xf>
    <xf numFmtId="0" fontId="28" fillId="7" borderId="0" xfId="0" applyFont="1" applyFill="1" applyAlignment="1">
      <alignment wrapText="1"/>
    </xf>
    <xf numFmtId="0" fontId="28" fillId="7" borderId="0" xfId="0" applyFont="1" applyFill="1"/>
    <xf numFmtId="0" fontId="28" fillId="7" borderId="30" xfId="0" applyFont="1" applyFill="1" applyBorder="1"/>
    <xf numFmtId="167" fontId="28" fillId="7" borderId="29" xfId="16" applyFont="1" applyFill="1" applyBorder="1" applyAlignment="1">
      <alignment horizontal="left"/>
    </xf>
    <xf numFmtId="175" fontId="28" fillId="7" borderId="24" xfId="0" applyNumberFormat="1" applyFont="1" applyFill="1" applyBorder="1"/>
    <xf numFmtId="175" fontId="28" fillId="7" borderId="23" xfId="0" applyNumberFormat="1" applyFont="1" applyFill="1" applyBorder="1"/>
    <xf numFmtId="0" fontId="28" fillId="7" borderId="22" xfId="0" applyFont="1" applyFill="1" applyBorder="1"/>
    <xf numFmtId="167" fontId="28" fillId="7" borderId="0" xfId="0" applyNumberFormat="1" applyFont="1" applyFill="1"/>
    <xf numFmtId="167" fontId="28" fillId="7" borderId="10" xfId="0" applyNumberFormat="1" applyFont="1" applyFill="1" applyBorder="1"/>
    <xf numFmtId="167" fontId="28" fillId="8" borderId="0" xfId="0" applyNumberFormat="1" applyFont="1" applyFill="1"/>
    <xf numFmtId="167" fontId="28" fillId="8" borderId="10" xfId="0" applyNumberFormat="1" applyFont="1" applyFill="1" applyBorder="1"/>
    <xf numFmtId="175" fontId="28" fillId="7" borderId="0" xfId="0" applyNumberFormat="1" applyFont="1" applyFill="1"/>
    <xf numFmtId="175" fontId="28" fillId="7" borderId="10" xfId="0" applyNumberFormat="1" applyFont="1" applyFill="1" applyBorder="1"/>
    <xf numFmtId="0" fontId="28" fillId="3" borderId="22" xfId="32" applyFont="1" applyFill="1" applyBorder="1"/>
    <xf numFmtId="175" fontId="28" fillId="8" borderId="0" xfId="0" applyNumberFormat="1" applyFont="1" applyFill="1"/>
    <xf numFmtId="175" fontId="28" fillId="8" borderId="10" xfId="0" applyNumberFormat="1" applyFont="1" applyFill="1" applyBorder="1"/>
    <xf numFmtId="172" fontId="28" fillId="7" borderId="33" xfId="0" applyNumberFormat="1" applyFont="1" applyFill="1" applyBorder="1"/>
    <xf numFmtId="172" fontId="28" fillId="7" borderId="45" xfId="0" applyNumberFormat="1" applyFont="1" applyFill="1" applyBorder="1"/>
    <xf numFmtId="2" fontId="28" fillId="7" borderId="38" xfId="0" applyNumberFormat="1" applyFont="1" applyFill="1" applyBorder="1"/>
    <xf numFmtId="2" fontId="28" fillId="7" borderId="46" xfId="0" applyNumberFormat="1" applyFont="1" applyFill="1" applyBorder="1"/>
    <xf numFmtId="2" fontId="28" fillId="8" borderId="33" xfId="0" applyNumberFormat="1" applyFont="1" applyFill="1" applyBorder="1"/>
    <xf numFmtId="2" fontId="28" fillId="8" borderId="45" xfId="0" applyNumberFormat="1" applyFont="1" applyFill="1" applyBorder="1"/>
    <xf numFmtId="2" fontId="28" fillId="7" borderId="33" xfId="0" applyNumberFormat="1" applyFont="1" applyFill="1" applyBorder="1"/>
    <xf numFmtId="2" fontId="28" fillId="7" borderId="45" xfId="0" applyNumberFormat="1" applyFont="1" applyFill="1" applyBorder="1"/>
    <xf numFmtId="0" fontId="28" fillId="7" borderId="5" xfId="0" applyFont="1" applyFill="1" applyBorder="1"/>
    <xf numFmtId="2" fontId="28" fillId="7" borderId="47" xfId="0" applyNumberFormat="1" applyFont="1" applyFill="1" applyBorder="1"/>
    <xf numFmtId="2" fontId="28" fillId="7" borderId="48" xfId="0" applyNumberFormat="1" applyFont="1" applyFill="1" applyBorder="1"/>
  </cellXfs>
  <cellStyles count="125">
    <cellStyle name="Comma 2" xfId="1" xr:uid="{00000000-0005-0000-0000-000000000000}"/>
    <cellStyle name="Comma 2 2" xfId="2" xr:uid="{00000000-0005-0000-0000-000001000000}"/>
    <cellStyle name="Comma 2 3" xfId="3" xr:uid="{00000000-0005-0000-0000-000002000000}"/>
    <cellStyle name="Comma 2 4" xfId="4" xr:uid="{00000000-0005-0000-0000-000003000000}"/>
    <cellStyle name="Comma 3" xfId="5" xr:uid="{00000000-0005-0000-0000-000004000000}"/>
    <cellStyle name="Comma 3 2" xfId="6" xr:uid="{00000000-0005-0000-0000-000005000000}"/>
    <cellStyle name="Comma 3 3" xfId="7" xr:uid="{00000000-0005-0000-0000-000006000000}"/>
    <cellStyle name="Comma 3 3 2" xfId="8" xr:uid="{00000000-0005-0000-0000-000007000000}"/>
    <cellStyle name="Comma 3 4" xfId="9" xr:uid="{00000000-0005-0000-0000-000008000000}"/>
    <cellStyle name="Comma 4" xfId="10" xr:uid="{00000000-0005-0000-0000-000009000000}"/>
    <cellStyle name="Comma 4 2" xfId="11" xr:uid="{00000000-0005-0000-0000-00000A000000}"/>
    <cellStyle name="Comma 5" xfId="12" xr:uid="{00000000-0005-0000-0000-00000B000000}"/>
    <cellStyle name="Comma 5 2" xfId="13" xr:uid="{00000000-0005-0000-0000-00000C000000}"/>
    <cellStyle name="Comma 5 3" xfId="14" xr:uid="{00000000-0005-0000-0000-00000D000000}"/>
    <cellStyle name="Comma 5 3 2" xfId="15" xr:uid="{00000000-0005-0000-0000-00000E000000}"/>
    <cellStyle name="Comma 6" xfId="16" xr:uid="{00000000-0005-0000-0000-00000F000000}"/>
    <cellStyle name="Comma 6 2" xfId="17" xr:uid="{00000000-0005-0000-0000-000010000000}"/>
    <cellStyle name="Comma 6 3" xfId="18" xr:uid="{00000000-0005-0000-0000-000011000000}"/>
    <cellStyle name="Comma 6 3 2" xfId="19" xr:uid="{00000000-0005-0000-0000-000012000000}"/>
    <cellStyle name="Comma 7" xfId="20" xr:uid="{00000000-0005-0000-0000-000013000000}"/>
    <cellStyle name="Comma 7 2" xfId="21" xr:uid="{00000000-0005-0000-0000-000014000000}"/>
    <cellStyle name="Comma 7 3" xfId="22" xr:uid="{00000000-0005-0000-0000-000015000000}"/>
    <cellStyle name="Currency 2" xfId="23" xr:uid="{00000000-0005-0000-0000-000016000000}"/>
    <cellStyle name="Currency 3" xfId="24" xr:uid="{00000000-0005-0000-0000-000017000000}"/>
    <cellStyle name="Currency 3 2" xfId="25" xr:uid="{00000000-0005-0000-0000-000018000000}"/>
    <cellStyle name="Currency 3 3" xfId="26" xr:uid="{00000000-0005-0000-0000-000019000000}"/>
    <cellStyle name="Hyperlink 2" xfId="27" xr:uid="{00000000-0005-0000-0000-00001A000000}"/>
    <cellStyle name="Hyperlink 2 2" xfId="28" xr:uid="{00000000-0005-0000-0000-00001B000000}"/>
    <cellStyle name="Hyperlink 2 3" xfId="29" xr:uid="{00000000-0005-0000-0000-00001C000000}"/>
    <cellStyle name="Hyperlink 3" xfId="30" xr:uid="{00000000-0005-0000-0000-00001D000000}"/>
    <cellStyle name="Hyperlink 3 2" xfId="31" xr:uid="{00000000-0005-0000-0000-00001E000000}"/>
    <cellStyle name="Normal" xfId="0" builtinId="0"/>
    <cellStyle name="Normal 10" xfId="123" xr:uid="{78C85415-9CE2-47EC-86C4-08A8A56EA17B}"/>
    <cellStyle name="Normal 2" xfId="32" xr:uid="{00000000-0005-0000-0000-000020000000}"/>
    <cellStyle name="Normal 2 2" xfId="33" xr:uid="{00000000-0005-0000-0000-000021000000}"/>
    <cellStyle name="Normal 2 2 2" xfId="34" xr:uid="{00000000-0005-0000-0000-000022000000}"/>
    <cellStyle name="Normal 2 2 2 2" xfId="35" xr:uid="{00000000-0005-0000-0000-000023000000}"/>
    <cellStyle name="Normal 2 2 2 3" xfId="36" xr:uid="{00000000-0005-0000-0000-000024000000}"/>
    <cellStyle name="Normal 2 2 3" xfId="37" xr:uid="{00000000-0005-0000-0000-000025000000}"/>
    <cellStyle name="Normal 2 2 4" xfId="38" xr:uid="{00000000-0005-0000-0000-000026000000}"/>
    <cellStyle name="Normal 2 2 5" xfId="39" xr:uid="{00000000-0005-0000-0000-000027000000}"/>
    <cellStyle name="Normal 2 3" xfId="40" xr:uid="{00000000-0005-0000-0000-000028000000}"/>
    <cellStyle name="Normal 2 3 2" xfId="41" xr:uid="{00000000-0005-0000-0000-000029000000}"/>
    <cellStyle name="Normal 2 3 3" xfId="42" xr:uid="{00000000-0005-0000-0000-00002A000000}"/>
    <cellStyle name="Normal 2 4" xfId="43" xr:uid="{00000000-0005-0000-0000-00002B000000}"/>
    <cellStyle name="Normal 2 5" xfId="44" xr:uid="{00000000-0005-0000-0000-00002C000000}"/>
    <cellStyle name="Normal 2 6" xfId="45" xr:uid="{00000000-0005-0000-0000-00002D000000}"/>
    <cellStyle name="Normal 3" xfId="46" xr:uid="{00000000-0005-0000-0000-00002E000000}"/>
    <cellStyle name="Normal 3 2" xfId="47" xr:uid="{00000000-0005-0000-0000-00002F000000}"/>
    <cellStyle name="Normal 3 2 2" xfId="48" xr:uid="{00000000-0005-0000-0000-000030000000}"/>
    <cellStyle name="Normal 3 2 3" xfId="49" xr:uid="{00000000-0005-0000-0000-000031000000}"/>
    <cellStyle name="Normal 3 2 4" xfId="50" xr:uid="{00000000-0005-0000-0000-000032000000}"/>
    <cellStyle name="Normal 3 2 4 2" xfId="51" xr:uid="{00000000-0005-0000-0000-000033000000}"/>
    <cellStyle name="Normal 3 2 4 3" xfId="52" xr:uid="{00000000-0005-0000-0000-000034000000}"/>
    <cellStyle name="Normal 3 2 5" xfId="53" xr:uid="{00000000-0005-0000-0000-000035000000}"/>
    <cellStyle name="Normal 3 3" xfId="54" xr:uid="{00000000-0005-0000-0000-000036000000}"/>
    <cellStyle name="Normal 3 4" xfId="55" xr:uid="{00000000-0005-0000-0000-000037000000}"/>
    <cellStyle name="Normal 3 5" xfId="56" xr:uid="{00000000-0005-0000-0000-000038000000}"/>
    <cellStyle name="Normal 3 6" xfId="57" xr:uid="{00000000-0005-0000-0000-000039000000}"/>
    <cellStyle name="Normal 4" xfId="58" xr:uid="{00000000-0005-0000-0000-00003A000000}"/>
    <cellStyle name="Normal 4 2" xfId="59" xr:uid="{00000000-0005-0000-0000-00003B000000}"/>
    <cellStyle name="Normal 4 2 2" xfId="60" xr:uid="{00000000-0005-0000-0000-00003C000000}"/>
    <cellStyle name="Normal 4 2 3" xfId="61" xr:uid="{00000000-0005-0000-0000-00003D000000}"/>
    <cellStyle name="Normal 4 3" xfId="62" xr:uid="{00000000-0005-0000-0000-00003E000000}"/>
    <cellStyle name="Normal 5" xfId="63" xr:uid="{00000000-0005-0000-0000-00003F000000}"/>
    <cellStyle name="Normal 5 2" xfId="64" xr:uid="{00000000-0005-0000-0000-000040000000}"/>
    <cellStyle name="Normal 5 3" xfId="65" xr:uid="{00000000-0005-0000-0000-000041000000}"/>
    <cellStyle name="Normal 5 4" xfId="66" xr:uid="{00000000-0005-0000-0000-000042000000}"/>
    <cellStyle name="Normal 6" xfId="67" xr:uid="{00000000-0005-0000-0000-000043000000}"/>
    <cellStyle name="Normal 6 2" xfId="68" xr:uid="{00000000-0005-0000-0000-000044000000}"/>
    <cellStyle name="Normal 6 3" xfId="69" xr:uid="{00000000-0005-0000-0000-000045000000}"/>
    <cellStyle name="Normal 6 3 2" xfId="70" xr:uid="{00000000-0005-0000-0000-000046000000}"/>
    <cellStyle name="Normal 6 3 3" xfId="71" xr:uid="{00000000-0005-0000-0000-000047000000}"/>
    <cellStyle name="Normal 7" xfId="72" xr:uid="{00000000-0005-0000-0000-000048000000}"/>
    <cellStyle name="Normal 7 2" xfId="73" xr:uid="{00000000-0005-0000-0000-000049000000}"/>
    <cellStyle name="Normal 8" xfId="74" xr:uid="{00000000-0005-0000-0000-00004A000000}"/>
    <cellStyle name="Normal 8 2" xfId="75" xr:uid="{00000000-0005-0000-0000-00004B000000}"/>
    <cellStyle name="Normal 9" xfId="76" xr:uid="{00000000-0005-0000-0000-00004C000000}"/>
    <cellStyle name="Normal 9 2" xfId="77" xr:uid="{00000000-0005-0000-0000-00004D000000}"/>
    <cellStyle name="Per cent" xfId="124" builtinId="5"/>
    <cellStyle name="Percent 10" xfId="78" xr:uid="{00000000-0005-0000-0000-00004E000000}"/>
    <cellStyle name="Percent 10 2" xfId="79" xr:uid="{00000000-0005-0000-0000-00004F000000}"/>
    <cellStyle name="Percent 10 3" xfId="80" xr:uid="{00000000-0005-0000-0000-000050000000}"/>
    <cellStyle name="Percent 10 4" xfId="81" xr:uid="{00000000-0005-0000-0000-000051000000}"/>
    <cellStyle name="Percent 2" xfId="82" xr:uid="{00000000-0005-0000-0000-000052000000}"/>
    <cellStyle name="Percent 2 2" xfId="83" xr:uid="{00000000-0005-0000-0000-000053000000}"/>
    <cellStyle name="Percent 2 3" xfId="84" xr:uid="{00000000-0005-0000-0000-000054000000}"/>
    <cellStyle name="Percent 2 3 2" xfId="85" xr:uid="{00000000-0005-0000-0000-000055000000}"/>
    <cellStyle name="Percent 2 3 3" xfId="86" xr:uid="{00000000-0005-0000-0000-000056000000}"/>
    <cellStyle name="Percent 2 3 4" xfId="87" xr:uid="{00000000-0005-0000-0000-000057000000}"/>
    <cellStyle name="Percent 2 4" xfId="88" xr:uid="{00000000-0005-0000-0000-000058000000}"/>
    <cellStyle name="Percent 2 5" xfId="89" xr:uid="{00000000-0005-0000-0000-000059000000}"/>
    <cellStyle name="Percent 2 5 2" xfId="90" xr:uid="{00000000-0005-0000-0000-00005A000000}"/>
    <cellStyle name="Percent 2 5 3" xfId="91" xr:uid="{00000000-0005-0000-0000-00005B000000}"/>
    <cellStyle name="Percent 2 6" xfId="92" xr:uid="{00000000-0005-0000-0000-00005C000000}"/>
    <cellStyle name="Percent 3" xfId="93" xr:uid="{00000000-0005-0000-0000-00005D000000}"/>
    <cellStyle name="Percent 3 2" xfId="94" xr:uid="{00000000-0005-0000-0000-00005E000000}"/>
    <cellStyle name="Percent 4" xfId="95" xr:uid="{00000000-0005-0000-0000-00005F000000}"/>
    <cellStyle name="Percent 4 2" xfId="96" xr:uid="{00000000-0005-0000-0000-000060000000}"/>
    <cellStyle name="Percent 5" xfId="97" xr:uid="{00000000-0005-0000-0000-000061000000}"/>
    <cellStyle name="Percent 5 2" xfId="98" xr:uid="{00000000-0005-0000-0000-000062000000}"/>
    <cellStyle name="Percent 5 2 2" xfId="99" xr:uid="{00000000-0005-0000-0000-000063000000}"/>
    <cellStyle name="Percent 5 2 3" xfId="100" xr:uid="{00000000-0005-0000-0000-000064000000}"/>
    <cellStyle name="Percent 5 2 3 2" xfId="101" xr:uid="{00000000-0005-0000-0000-000065000000}"/>
    <cellStyle name="Percent 5 2 3 3" xfId="102" xr:uid="{00000000-0005-0000-0000-000066000000}"/>
    <cellStyle name="Percent 5 3" xfId="103" xr:uid="{00000000-0005-0000-0000-000067000000}"/>
    <cellStyle name="Percent 5 3 2" xfId="104" xr:uid="{00000000-0005-0000-0000-000068000000}"/>
    <cellStyle name="Percent 6" xfId="105" xr:uid="{00000000-0005-0000-0000-000069000000}"/>
    <cellStyle name="Percent 6 2" xfId="106" xr:uid="{00000000-0005-0000-0000-00006A000000}"/>
    <cellStyle name="Percent 6 3" xfId="107" xr:uid="{00000000-0005-0000-0000-00006B000000}"/>
    <cellStyle name="Percent 6 3 2" xfId="108" xr:uid="{00000000-0005-0000-0000-00006C000000}"/>
    <cellStyle name="Percent 7" xfId="109" xr:uid="{00000000-0005-0000-0000-00006D000000}"/>
    <cellStyle name="Percent 7 2" xfId="110" xr:uid="{00000000-0005-0000-0000-00006E000000}"/>
    <cellStyle name="Percent 7 3" xfId="111" xr:uid="{00000000-0005-0000-0000-00006F000000}"/>
    <cellStyle name="Percent 7 4" xfId="112" xr:uid="{00000000-0005-0000-0000-000070000000}"/>
    <cellStyle name="Percent 7 4 2" xfId="113" xr:uid="{00000000-0005-0000-0000-000071000000}"/>
    <cellStyle name="Percent 7 4 3" xfId="114" xr:uid="{00000000-0005-0000-0000-000072000000}"/>
    <cellStyle name="Percent 7 5" xfId="115" xr:uid="{00000000-0005-0000-0000-000073000000}"/>
    <cellStyle name="Percent 7 5 2" xfId="116" xr:uid="{00000000-0005-0000-0000-000074000000}"/>
    <cellStyle name="Percent 8" xfId="117" xr:uid="{00000000-0005-0000-0000-000075000000}"/>
    <cellStyle name="Percent 8 2" xfId="118" xr:uid="{00000000-0005-0000-0000-000076000000}"/>
    <cellStyle name="Percent 8 3" xfId="119" xr:uid="{00000000-0005-0000-0000-000077000000}"/>
    <cellStyle name="Percent 8 3 2" xfId="120" xr:uid="{00000000-0005-0000-0000-000078000000}"/>
    <cellStyle name="Percent 9" xfId="121" xr:uid="{00000000-0005-0000-0000-000079000000}"/>
    <cellStyle name="Percent 9 2" xfId="122" xr:uid="{00000000-0005-0000-0000-00007A000000}"/>
  </cellStyles>
  <dxfs count="32">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strike val="0"/>
        <outline val="0"/>
        <shadow val="0"/>
        <u val="none"/>
        <vertAlign val="baseline"/>
        <sz val="11"/>
        <name val="Aptos"/>
        <family val="2"/>
        <scheme val="none"/>
      </font>
    </dxf>
    <dxf>
      <font>
        <b/>
        <strike val="0"/>
        <outline val="0"/>
        <shadow val="0"/>
        <u val="none"/>
        <vertAlign val="baseline"/>
        <sz val="11"/>
        <name val="Aptos"/>
        <family val="2"/>
        <scheme val="none"/>
      </font>
      <fill>
        <patternFill patternType="solid">
          <fgColor indexed="64"/>
          <bgColor theme="0"/>
        </patternFill>
      </fill>
    </dxf>
    <dxf>
      <font>
        <b/>
        <strike val="0"/>
        <outline val="0"/>
        <shadow val="0"/>
        <u val="none"/>
        <vertAlign val="baseline"/>
        <sz val="11"/>
        <name val="Aptos"/>
        <family val="2"/>
        <scheme val="none"/>
      </font>
      <alignment horizontal="center" textRotation="0" indent="0" justifyLastLine="0" shrinkToFit="0" readingOrder="0"/>
    </dxf>
    <dxf>
      <font>
        <b/>
        <strike val="0"/>
        <outline val="0"/>
        <shadow val="0"/>
        <u val="none"/>
        <vertAlign val="baseline"/>
        <sz val="11"/>
        <name val="Aptos"/>
        <family val="2"/>
        <scheme val="none"/>
      </font>
      <alignment horizontal="center" textRotation="0" indent="0" justifyLastLine="0" shrinkToFit="0" readingOrder="0"/>
    </dxf>
    <dxf>
      <font>
        <b/>
        <strike val="0"/>
        <outline val="0"/>
        <shadow val="0"/>
        <u val="none"/>
        <vertAlign val="baseline"/>
        <sz val="11"/>
        <name val="Aptos"/>
        <family val="2"/>
        <scheme val="none"/>
      </font>
      <alignment horizontal="center" textRotation="0" indent="0" justifyLastLine="0" shrinkToFit="0" readingOrder="0"/>
    </dxf>
    <dxf>
      <font>
        <b/>
        <strike val="0"/>
        <outline val="0"/>
        <shadow val="0"/>
        <u val="none"/>
        <vertAlign val="baseline"/>
        <sz val="11"/>
        <name val="Aptos"/>
        <family val="2"/>
        <scheme val="none"/>
      </font>
    </dxf>
    <dxf>
      <font>
        <b/>
        <i val="0"/>
        <strike val="0"/>
        <condense val="0"/>
        <extend val="0"/>
        <outline val="0"/>
        <shadow val="0"/>
        <u val="none"/>
        <vertAlign val="baseline"/>
        <sz val="11"/>
        <color theme="1"/>
        <name val="Aptos"/>
        <family val="2"/>
        <scheme val="none"/>
      </font>
      <fill>
        <patternFill patternType="solid">
          <fgColor indexed="64"/>
          <bgColor theme="0"/>
        </patternFill>
      </fill>
      <border diagonalUp="0" diagonalDown="0" outline="0">
        <left style="thin">
          <color indexed="64"/>
        </left>
        <right/>
        <top/>
        <bottom style="thin">
          <color indexed="64"/>
        </bottom>
      </border>
    </dxf>
    <dxf>
      <border outline="0">
        <top style="thin">
          <color indexed="64"/>
        </top>
        <bottom style="thin">
          <color indexed="64"/>
        </bottom>
      </border>
    </dxf>
  </dxfs>
  <tableStyles count="1" defaultTableStyle="TableStyleMedium9" defaultPivotStyle="PivotStyleLight16">
    <tableStyle name="Invisible" pivot="0" table="0" count="0" xr9:uid="{2E07A736-8B86-4465-8BED-A19F2E5E0FAC}"/>
  </tableStyles>
  <colors>
    <mruColors>
      <color rgb="FFAD9244"/>
      <color rgb="FF3A63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333333"/>
                </a:solidFill>
                <a:latin typeface="Calibri"/>
                <a:ea typeface="Calibri"/>
                <a:cs typeface="Calibri"/>
              </a:defRPr>
            </a:pPr>
            <a:r>
              <a:rPr lang="en-ZA"/>
              <a:t>Margin Comparison / Marge Vergelyking:  Eastern Free State Region</a:t>
            </a:r>
          </a:p>
        </c:rich>
      </c:tx>
      <c:overlay val="0"/>
      <c:spPr>
        <a:noFill/>
        <a:ln w="25400">
          <a:noFill/>
        </a:ln>
      </c:spPr>
    </c:title>
    <c:autoTitleDeleted val="0"/>
    <c:plotArea>
      <c:layout>
        <c:manualLayout>
          <c:layoutTarget val="inner"/>
          <c:xMode val="edge"/>
          <c:yMode val="edge"/>
          <c:x val="0.11253032797088575"/>
          <c:y val="0.10834119249397398"/>
          <c:w val="0.82062236981754888"/>
          <c:h val="0.81925350826629662"/>
        </c:manualLayout>
      </c:layout>
      <c:barChart>
        <c:barDir val="col"/>
        <c:grouping val="clustered"/>
        <c:varyColors val="0"/>
        <c:ser>
          <c:idx val="0"/>
          <c:order val="0"/>
          <c:tx>
            <c:strRef>
              <c:f>'Crop Comparison'!$A$34</c:f>
              <c:strCache>
                <c:ptCount val="1"/>
                <c:pt idx="0">
                  <c:v>3) GROSS MARGIN  (R/ha)</c:v>
                </c:pt>
              </c:strCache>
            </c:strRef>
          </c:tx>
          <c:spPr>
            <a:solidFill>
              <a:schemeClr val="bg1"/>
            </a:solidFill>
            <a:ln w="25400">
              <a:solidFill>
                <a:schemeClr val="accent1"/>
              </a:solidFill>
            </a:ln>
            <a:effectLst/>
          </c:spPr>
          <c:invertIfNegative val="0"/>
          <c:dLbls>
            <c:dLbl>
              <c:idx val="3"/>
              <c:spPr>
                <a:noFill/>
                <a:ln w="9525" cap="flat" cmpd="sng" algn="ctr">
                  <a:solidFill>
                    <a:schemeClr val="accent1">
                      <a:shade val="95000"/>
                      <a:satMod val="105000"/>
                    </a:schemeClr>
                  </a:solidFill>
                  <a:prstDash val="solid"/>
                </a:ln>
                <a:effectLst>
                  <a:outerShdw blurRad="40000" dist="20000" dir="5400000" rotWithShape="0">
                    <a:srgbClr val="000000">
                      <a:alpha val="38000"/>
                    </a:srgbClr>
                  </a:outerShdw>
                </a:effectLst>
              </c:spPr>
              <c:txPr>
                <a:bodyPr/>
                <a:lstStyle/>
                <a:p>
                  <a:pPr>
                    <a:defRPr sz="1050" b="1"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dLbl>
            <c:spPr>
              <a:noFill/>
              <a:ln w="9525" cap="flat" cmpd="sng" algn="ctr">
                <a:solidFill>
                  <a:schemeClr val="accent1">
                    <a:shade val="95000"/>
                    <a:satMod val="105000"/>
                  </a:schemeClr>
                </a:solidFill>
                <a:prstDash val="solid"/>
              </a:ln>
              <a:effectLst>
                <a:outerShdw blurRad="40000" dist="20000" dir="5400000" rotWithShape="0">
                  <a:srgbClr val="000000">
                    <a:alpha val="38000"/>
                  </a:srgbClr>
                </a:outerShdw>
              </a:effectLst>
            </c:spPr>
            <c:txPr>
              <a:bodyPr wrap="square" lIns="38100" tIns="19050" rIns="38100" bIns="19050" anchor="ctr">
                <a:spAutoFit/>
              </a:bodyPr>
              <a:lstStyle/>
              <a:p>
                <a:pPr>
                  <a:defRPr sz="1050" b="1"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'Crop Comparison'!$B$2:$F$2</c:f>
              <c:strCache>
                <c:ptCount val="5"/>
                <c:pt idx="0">
                  <c:v>Maize (conven)</c:v>
                </c:pt>
                <c:pt idx="1">
                  <c:v>Maize (Bt)</c:v>
                </c:pt>
                <c:pt idx="2">
                  <c:v>Sunflower</c:v>
                </c:pt>
                <c:pt idx="3">
                  <c:v>Soy bean</c:v>
                </c:pt>
                <c:pt idx="4">
                  <c:v>Irr-Maize</c:v>
                </c:pt>
              </c:strCache>
            </c:strRef>
          </c:cat>
          <c:val>
            <c:numRef>
              <c:f>'Crop Comparison'!$B$34:$F$34</c:f>
              <c:numCache>
                <c:formatCode>_-[$R-1C09]* #\ ##0_-;\-[$R-1C09]* #\ ##0_-;_-[$R-1C09]* "-"??_-;_-@_-</c:formatCode>
                <c:ptCount val="5"/>
                <c:pt idx="0">
                  <c:v>862.40430946825654</c:v>
                </c:pt>
                <c:pt idx="1">
                  <c:v>-280.79541879379394</c:v>
                </c:pt>
                <c:pt idx="2">
                  <c:v>4471.0926356884593</c:v>
                </c:pt>
                <c:pt idx="3">
                  <c:v>2704.7486956126031</c:v>
                </c:pt>
                <c:pt idx="4">
                  <c:v>-13422.09802025558</c:v>
                </c:pt>
              </c:numCache>
            </c:numRef>
          </c:val>
          <c:extLst>
            <c:ext xmlns:c16="http://schemas.microsoft.com/office/drawing/2014/chart" uri="{C3380CC4-5D6E-409C-BE32-E72D297353CC}">
              <c16:uniqueId val="{00000002-D736-41FC-BE48-CE453A3255F8}"/>
            </c:ext>
          </c:extLst>
        </c:ser>
        <c:ser>
          <c:idx val="1"/>
          <c:order val="1"/>
          <c:tx>
            <c:strRef>
              <c:f>'Crop Comparison'!$A$35</c:f>
              <c:strCache>
                <c:ptCount val="1"/>
                <c:pt idx="0">
                  <c:v>4) NETT MARGIN  (R/ha)</c:v>
                </c:pt>
              </c:strCache>
            </c:strRef>
          </c:tx>
          <c:spPr>
            <a:noFill/>
            <a:ln w="25400">
              <a:solidFill>
                <a:srgbClr val="FF0000"/>
              </a:solidFill>
            </a:ln>
          </c:spPr>
          <c:invertIfNegative val="0"/>
          <c:dLbls>
            <c:spPr>
              <a:noFill/>
              <a:ln>
                <a:solidFill>
                  <a:srgbClr val="FF0000"/>
                </a:solidFill>
              </a:ln>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'Crop Comparison'!$B$2:$F$2</c:f>
              <c:strCache>
                <c:ptCount val="5"/>
                <c:pt idx="0">
                  <c:v>Maize (conven)</c:v>
                </c:pt>
                <c:pt idx="1">
                  <c:v>Maize (Bt)</c:v>
                </c:pt>
                <c:pt idx="2">
                  <c:v>Sunflower</c:v>
                </c:pt>
                <c:pt idx="3">
                  <c:v>Soy bean</c:v>
                </c:pt>
                <c:pt idx="4">
                  <c:v>Irr-Maize</c:v>
                </c:pt>
              </c:strCache>
            </c:strRef>
          </c:cat>
          <c:val>
            <c:numRef>
              <c:f>'Crop Comparison'!$B$35:$F$35</c:f>
              <c:numCache>
                <c:formatCode>_-[$R-1C09]* #\ ##0_-;\-[$R-1C09]* #\ ##0_-;_-[$R-1C09]* "-"??_-;_-@_-</c:formatCode>
                <c:ptCount val="5"/>
                <c:pt idx="0">
                  <c:v>-6636.7780474317442</c:v>
                </c:pt>
                <c:pt idx="1">
                  <c:v>-7137.2276388937935</c:v>
                </c:pt>
                <c:pt idx="2">
                  <c:v>-1315.2554289115396</c:v>
                </c:pt>
                <c:pt idx="3">
                  <c:v>-1521.9211543873989</c:v>
                </c:pt>
                <c:pt idx="4">
                  <c:v>-20230.040830255581</c:v>
                </c:pt>
              </c:numCache>
            </c:numRef>
          </c:val>
          <c:extLst>
            <c:ext xmlns:c16="http://schemas.microsoft.com/office/drawing/2014/chart" uri="{C3380CC4-5D6E-409C-BE32-E72D297353CC}">
              <c16:uniqueId val="{00000003-D736-41FC-BE48-CE453A3255F8}"/>
            </c:ext>
          </c:extLst>
        </c:ser>
        <c:dLbls>
          <c:showLegendKey val="0"/>
          <c:showVal val="0"/>
          <c:showCatName val="0"/>
          <c:showSerName val="0"/>
          <c:showPercent val="0"/>
          <c:showBubbleSize val="0"/>
        </c:dLbls>
        <c:gapWidth val="150"/>
        <c:axId val="134204975"/>
        <c:axId val="1"/>
      </c:barChart>
      <c:catAx>
        <c:axId val="134204975"/>
        <c:scaling>
          <c:orientation val="minMax"/>
        </c:scaling>
        <c:delete val="0"/>
        <c:axPos val="b"/>
        <c:numFmt formatCode="General" sourceLinked="1"/>
        <c:majorTickMark val="none"/>
        <c:minorTickMark val="none"/>
        <c:tickLblPos val="nextTo"/>
        <c:spPr>
          <a:ln w="9525">
            <a:noFill/>
          </a:ln>
        </c:spPr>
        <c:txPr>
          <a:bodyPr rot="0" vert="horz"/>
          <a:lstStyle/>
          <a:p>
            <a:pPr>
              <a:defRPr sz="1050" b="1"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R-1C09]* #\ ##0_-;\-[$R-1C09]* #\ ##0_-;_-[$R-1C09]* &quot;-&quot;??_-;_-@_-" sourceLinked="1"/>
        <c:majorTickMark val="none"/>
        <c:minorTickMark val="none"/>
        <c:tickLblPos val="nextTo"/>
        <c:spPr>
          <a:ln w="9525">
            <a:noFill/>
          </a:ln>
        </c:spPr>
        <c:txPr>
          <a:bodyPr rot="0" vert="horz"/>
          <a:lstStyle/>
          <a:p>
            <a:pPr>
              <a:defRPr sz="1100" b="0" i="0" u="none" strike="noStrike" baseline="0">
                <a:solidFill>
                  <a:srgbClr val="333333"/>
                </a:solidFill>
                <a:latin typeface="Calibri"/>
                <a:ea typeface="Calibri"/>
                <a:cs typeface="Calibri"/>
              </a:defRPr>
            </a:pPr>
            <a:endParaRPr lang="en-US"/>
          </a:p>
        </c:txPr>
        <c:crossAx val="134204975"/>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Sunflower profitability</a:t>
            </a:r>
          </a:p>
        </c:rich>
      </c:tx>
      <c:overlay val="0"/>
    </c:title>
    <c:autoTitleDeleted val="0"/>
    <c:plotArea>
      <c:layout/>
      <c:doughnutChart>
        <c:varyColors val="1"/>
        <c:ser>
          <c:idx val="0"/>
          <c:order val="0"/>
          <c:tx>
            <c:strRef>
              <c:f>Grafieke!$A$18</c:f>
              <c:strCache>
                <c:ptCount val="1"/>
                <c:pt idx="0">
                  <c:v>Winsgewendheid: Sonneblom</c:v>
                </c:pt>
              </c:strCache>
            </c:strRef>
          </c:tx>
          <c:spPr>
            <a:solidFill>
              <a:srgbClr val="FFFF00"/>
            </a:solidFill>
          </c:spPr>
          <c:dPt>
            <c:idx val="0"/>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F641-4FCD-BC3B-73F969989EA1}"/>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F641-4FCD-BC3B-73F969989EA1}"/>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F641-4FCD-BC3B-73F969989EA1}"/>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F641-4FCD-BC3B-73F969989EA1}"/>
              </c:ext>
            </c:extLst>
          </c:dPt>
          <c:dPt>
            <c:idx val="4"/>
            <c:bubble3D val="0"/>
            <c:spPr>
              <a:noFill/>
              <a:ln>
                <a:noFill/>
              </a:ln>
              <a:effectLst/>
            </c:spPr>
            <c:extLst>
              <c:ext xmlns:c16="http://schemas.microsoft.com/office/drawing/2014/chart" uri="{C3380CC4-5D6E-409C-BE32-E72D297353CC}">
                <c16:uniqueId val="{00000009-F641-4FCD-BC3B-73F969989EA1}"/>
              </c:ext>
            </c:extLst>
          </c:dPt>
          <c:dLbls>
            <c:dLbl>
              <c:idx val="0"/>
              <c:delete val="1"/>
              <c:extLst>
                <c:ext xmlns:c15="http://schemas.microsoft.com/office/drawing/2012/chart" uri="{CE6537A1-D6FC-4f65-9D91-7224C49458BB}"/>
                <c:ext xmlns:c16="http://schemas.microsoft.com/office/drawing/2014/chart" uri="{C3380CC4-5D6E-409C-BE32-E72D297353CC}">
                  <c16:uniqueId val="{00000001-F641-4FCD-BC3B-73F969989EA1}"/>
                </c:ext>
              </c:extLst>
            </c:dLbl>
            <c:dLbl>
              <c:idx val="1"/>
              <c:tx>
                <c:rich>
                  <a:bodyPr/>
                  <a:lstStyle/>
                  <a:p>
                    <a:r>
                      <a:rPr lang="en-US"/>
                      <a:t>Variable cost</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41-4FCD-BC3B-73F969989EA1}"/>
                </c:ext>
              </c:extLst>
            </c:dLbl>
            <c:dLbl>
              <c:idx val="2"/>
              <c:tx>
                <c:rich>
                  <a:bodyPr/>
                  <a:lstStyle/>
                  <a:p>
                    <a:r>
                      <a:rPr lang="en-US"/>
                      <a:t>Fixed</a:t>
                    </a:r>
                    <a:r>
                      <a:rPr lang="en-US" baseline="0"/>
                      <a:t> cost</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F641-4FCD-BC3B-73F969989EA1}"/>
                </c:ext>
              </c:extLst>
            </c:dLbl>
            <c:dLbl>
              <c:idx val="3"/>
              <c:tx>
                <c:rich>
                  <a:bodyPr/>
                  <a:lstStyle/>
                  <a:p>
                    <a:r>
                      <a:rPr lang="en-US"/>
                      <a:t>Profit</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F641-4FCD-BC3B-73F969989EA1}"/>
                </c:ext>
              </c:extLst>
            </c:dLbl>
            <c:dLbl>
              <c:idx val="4"/>
              <c:delete val="1"/>
              <c:extLst>
                <c:ext xmlns:c15="http://schemas.microsoft.com/office/drawing/2012/chart" uri="{CE6537A1-D6FC-4f65-9D91-7224C49458BB}"/>
                <c:ext xmlns:c16="http://schemas.microsoft.com/office/drawing/2014/chart" uri="{C3380CC4-5D6E-409C-BE32-E72D297353CC}">
                  <c16:uniqueId val="{00000009-F641-4FCD-BC3B-73F969989EA1}"/>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Grafieke!$C$19:$C$23</c:f>
              <c:numCache>
                <c:formatCode>0</c:formatCode>
                <c:ptCount val="5"/>
                <c:pt idx="0" formatCode="General">
                  <c:v>0</c:v>
                </c:pt>
                <c:pt idx="1">
                  <c:v>32.011722113346977</c:v>
                </c:pt>
                <c:pt idx="2">
                  <c:v>20.294816217069542</c:v>
                </c:pt>
                <c:pt idx="3">
                  <c:v>47.693461669583485</c:v>
                </c:pt>
                <c:pt idx="4" formatCode="General">
                  <c:v>100</c:v>
                </c:pt>
              </c:numCache>
            </c:numRef>
          </c:val>
          <c:extLst>
            <c:ext xmlns:c16="http://schemas.microsoft.com/office/drawing/2014/chart" uri="{C3380CC4-5D6E-409C-BE32-E72D297353CC}">
              <c16:uniqueId val="{0000000A-F641-4FCD-BC3B-73F969989EA1}"/>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Grafieke!$D$18</c:f>
              <c:strCache>
                <c:ptCount val="1"/>
                <c:pt idx="0">
                  <c:v>Pointer</c:v>
                </c:pt>
              </c:strCache>
            </c:strRef>
          </c:tx>
          <c:dPt>
            <c:idx val="0"/>
            <c:bubble3D val="0"/>
            <c:spPr>
              <a:noFill/>
              <a:ln>
                <a:noFill/>
              </a:ln>
              <a:effectLst/>
            </c:spPr>
            <c:extLst>
              <c:ext xmlns:c16="http://schemas.microsoft.com/office/drawing/2014/chart" uri="{C3380CC4-5D6E-409C-BE32-E72D297353CC}">
                <c16:uniqueId val="{0000000C-F641-4FCD-BC3B-73F969989EA1}"/>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F641-4FCD-BC3B-73F969989EA1}"/>
              </c:ext>
            </c:extLst>
          </c:dPt>
          <c:dPt>
            <c:idx val="2"/>
            <c:bubble3D val="0"/>
            <c:spPr>
              <a:noFill/>
              <a:ln>
                <a:noFill/>
              </a:ln>
              <a:effectLst/>
            </c:spPr>
            <c:extLst>
              <c:ext xmlns:c16="http://schemas.microsoft.com/office/drawing/2014/chart" uri="{C3380CC4-5D6E-409C-BE32-E72D297353CC}">
                <c16:uniqueId val="{00000010-F641-4FCD-BC3B-73F969989EA1}"/>
              </c:ext>
            </c:extLst>
          </c:dPt>
          <c:val>
            <c:numRef>
              <c:f>Grafieke!$F$19:$F$21</c:f>
              <c:numCache>
                <c:formatCode>General</c:formatCode>
                <c:ptCount val="3"/>
                <c:pt idx="0" formatCode="0">
                  <c:v>47.693461669583485</c:v>
                </c:pt>
                <c:pt idx="1">
                  <c:v>1</c:v>
                </c:pt>
                <c:pt idx="2" formatCode="0">
                  <c:v>151.30653833041652</c:v>
                </c:pt>
              </c:numCache>
            </c:numRef>
          </c:val>
          <c:extLst>
            <c:ext xmlns:c16="http://schemas.microsoft.com/office/drawing/2014/chart" uri="{C3380CC4-5D6E-409C-BE32-E72D297353CC}">
              <c16:uniqueId val="{00000011-F641-4FCD-BC3B-73F969989EA1}"/>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Soybean profitability</a:t>
            </a:r>
          </a:p>
        </c:rich>
      </c:tx>
      <c:overlay val="0"/>
    </c:title>
    <c:autoTitleDeleted val="0"/>
    <c:plotArea>
      <c:layout/>
      <c:doughnutChart>
        <c:varyColors val="1"/>
        <c:ser>
          <c:idx val="0"/>
          <c:order val="0"/>
          <c:tx>
            <c:strRef>
              <c:f>Grafieke!$A$35</c:f>
              <c:strCache>
                <c:ptCount val="1"/>
                <c:pt idx="0">
                  <c:v>Winsgewendheid: Sojabone</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3328-46AB-827E-D874170FD17E}"/>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3328-46AB-827E-D874170FD17E}"/>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3328-46AB-827E-D874170FD17E}"/>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3328-46AB-827E-D874170FD17E}"/>
              </c:ext>
            </c:extLst>
          </c:dPt>
          <c:dPt>
            <c:idx val="4"/>
            <c:bubble3D val="0"/>
            <c:spPr>
              <a:noFill/>
              <a:ln>
                <a:noFill/>
              </a:ln>
              <a:effectLst/>
            </c:spPr>
            <c:extLst>
              <c:ext xmlns:c16="http://schemas.microsoft.com/office/drawing/2014/chart" uri="{C3380CC4-5D6E-409C-BE32-E72D297353CC}">
                <c16:uniqueId val="{00000009-3328-46AB-827E-D874170FD17E}"/>
              </c:ext>
            </c:extLst>
          </c:dPt>
          <c:dLbls>
            <c:dLbl>
              <c:idx val="0"/>
              <c:delete val="1"/>
              <c:extLst>
                <c:ext xmlns:c15="http://schemas.microsoft.com/office/drawing/2012/chart" uri="{CE6537A1-D6FC-4f65-9D91-7224C49458BB}"/>
                <c:ext xmlns:c16="http://schemas.microsoft.com/office/drawing/2014/chart" uri="{C3380CC4-5D6E-409C-BE32-E72D297353CC}">
                  <c16:uniqueId val="{00000001-3328-46AB-827E-D874170FD17E}"/>
                </c:ext>
              </c:extLst>
            </c:dLbl>
            <c:dLbl>
              <c:idx val="1"/>
              <c:tx>
                <c:rich>
                  <a:bodyPr/>
                  <a:lstStyle/>
                  <a:p>
                    <a:r>
                      <a:rPr lang="en-US"/>
                      <a:t>Variable</a:t>
                    </a:r>
                    <a:r>
                      <a:rPr lang="en-US" baseline="0"/>
                      <a:t> cost</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3328-46AB-827E-D874170FD17E}"/>
                </c:ext>
              </c:extLst>
            </c:dLbl>
            <c:dLbl>
              <c:idx val="2"/>
              <c:tx>
                <c:rich>
                  <a:bodyPr/>
                  <a:lstStyle/>
                  <a:p>
                    <a:r>
                      <a:rPr lang="en-US"/>
                      <a:t>Fixed</a:t>
                    </a:r>
                    <a:r>
                      <a:rPr lang="en-US" baseline="0"/>
                      <a:t> cost</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3328-46AB-827E-D874170FD17E}"/>
                </c:ext>
              </c:extLst>
            </c:dLbl>
            <c:dLbl>
              <c:idx val="3"/>
              <c:tx>
                <c:rich>
                  <a:bodyPr/>
                  <a:lstStyle/>
                  <a:p>
                    <a:r>
                      <a:rPr lang="en-US"/>
                      <a:t>Profit</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3328-46AB-827E-D874170FD17E}"/>
                </c:ext>
              </c:extLst>
            </c:dLbl>
            <c:dLbl>
              <c:idx val="4"/>
              <c:delete val="1"/>
              <c:extLst>
                <c:ext xmlns:c15="http://schemas.microsoft.com/office/drawing/2012/chart" uri="{CE6537A1-D6FC-4f65-9D91-7224C49458BB}"/>
                <c:ext xmlns:c16="http://schemas.microsoft.com/office/drawing/2014/chart" uri="{C3380CC4-5D6E-409C-BE32-E72D297353CC}">
                  <c16:uniqueId val="{00000009-3328-46AB-827E-D874170FD17E}"/>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Grafieke!$C$36:$C$40</c:f>
              <c:numCache>
                <c:formatCode>0</c:formatCode>
                <c:ptCount val="5"/>
                <c:pt idx="0" formatCode="General">
                  <c:v>0</c:v>
                </c:pt>
                <c:pt idx="1">
                  <c:v>39.564773357272557</c:v>
                </c:pt>
                <c:pt idx="2">
                  <c:v>12.726473675911793</c:v>
                </c:pt>
                <c:pt idx="3">
                  <c:v>47.708752966815645</c:v>
                </c:pt>
                <c:pt idx="4" formatCode="General">
                  <c:v>100</c:v>
                </c:pt>
              </c:numCache>
            </c:numRef>
          </c:val>
          <c:extLst>
            <c:ext xmlns:c16="http://schemas.microsoft.com/office/drawing/2014/chart" uri="{C3380CC4-5D6E-409C-BE32-E72D297353CC}">
              <c16:uniqueId val="{0000000A-3328-46AB-827E-D874170FD17E}"/>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Grafieke!$D$35</c:f>
              <c:strCache>
                <c:ptCount val="1"/>
                <c:pt idx="0">
                  <c:v>Pointer</c:v>
                </c:pt>
              </c:strCache>
            </c:strRef>
          </c:tx>
          <c:dPt>
            <c:idx val="0"/>
            <c:bubble3D val="0"/>
            <c:spPr>
              <a:noFill/>
            </c:spPr>
            <c:extLst>
              <c:ext xmlns:c16="http://schemas.microsoft.com/office/drawing/2014/chart" uri="{C3380CC4-5D6E-409C-BE32-E72D297353CC}">
                <c16:uniqueId val="{0000000C-3328-46AB-827E-D874170FD17E}"/>
              </c:ext>
            </c:extLst>
          </c:dPt>
          <c:dPt>
            <c:idx val="1"/>
            <c:bubble3D val="0"/>
            <c:spPr>
              <a:solidFill>
                <a:schemeClr val="tx1"/>
              </a:solidFill>
            </c:spPr>
            <c:extLst>
              <c:ext xmlns:c16="http://schemas.microsoft.com/office/drawing/2014/chart" uri="{C3380CC4-5D6E-409C-BE32-E72D297353CC}">
                <c16:uniqueId val="{0000000E-3328-46AB-827E-D874170FD17E}"/>
              </c:ext>
            </c:extLst>
          </c:dPt>
          <c:dPt>
            <c:idx val="2"/>
            <c:bubble3D val="0"/>
            <c:spPr>
              <a:noFill/>
            </c:spPr>
            <c:extLst>
              <c:ext xmlns:c16="http://schemas.microsoft.com/office/drawing/2014/chart" uri="{C3380CC4-5D6E-409C-BE32-E72D297353CC}">
                <c16:uniqueId val="{00000010-3328-46AB-827E-D874170FD17E}"/>
              </c:ext>
            </c:extLst>
          </c:dPt>
          <c:val>
            <c:numRef>
              <c:f>Grafieke!$F$36:$F$38</c:f>
              <c:numCache>
                <c:formatCode>General</c:formatCode>
                <c:ptCount val="3"/>
                <c:pt idx="0" formatCode="0">
                  <c:v>47.708752966815645</c:v>
                </c:pt>
                <c:pt idx="1">
                  <c:v>1</c:v>
                </c:pt>
                <c:pt idx="2" formatCode="0">
                  <c:v>151.29124703318436</c:v>
                </c:pt>
              </c:numCache>
            </c:numRef>
          </c:val>
          <c:extLst>
            <c:ext xmlns:c16="http://schemas.microsoft.com/office/drawing/2014/chart" uri="{C3380CC4-5D6E-409C-BE32-E72D297353CC}">
              <c16:uniqueId val="{00000011-3328-46AB-827E-D874170FD17E}"/>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Bt Mieliewinsgewendheid</a:t>
            </a:r>
          </a:p>
        </c:rich>
      </c:tx>
      <c:overlay val="0"/>
    </c:title>
    <c:autoTitleDeleted val="0"/>
    <c:plotArea>
      <c:layout/>
      <c:doughnutChart>
        <c:varyColors val="1"/>
        <c:ser>
          <c:idx val="0"/>
          <c:order val="0"/>
          <c:tx>
            <c:strRef>
              <c:f>Grafieke!$A$1</c:f>
              <c:strCache>
                <c:ptCount val="1"/>
                <c:pt idx="0">
                  <c:v>Winsgewendheid: Mielies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8157-4F96-B7CD-CFBAF422A0FA}"/>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8157-4F96-B7CD-CFBAF422A0FA}"/>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8157-4F96-B7CD-CFBAF422A0FA}"/>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8157-4F96-B7CD-CFBAF422A0FA}"/>
              </c:ext>
            </c:extLst>
          </c:dPt>
          <c:dPt>
            <c:idx val="4"/>
            <c:bubble3D val="0"/>
            <c:spPr>
              <a:noFill/>
              <a:ln>
                <a:noFill/>
              </a:ln>
              <a:effectLst/>
            </c:spPr>
            <c:extLst>
              <c:ext xmlns:c16="http://schemas.microsoft.com/office/drawing/2014/chart" uri="{C3380CC4-5D6E-409C-BE32-E72D297353CC}">
                <c16:uniqueId val="{00000009-8157-4F96-B7CD-CFBAF422A0FA}"/>
              </c:ext>
            </c:extLst>
          </c:dPt>
          <c:dLbls>
            <c:dLbl>
              <c:idx val="0"/>
              <c:delete val="1"/>
              <c:extLst>
                <c:ext xmlns:c15="http://schemas.microsoft.com/office/drawing/2012/chart" uri="{CE6537A1-D6FC-4f65-9D91-7224C49458BB}"/>
                <c:ext xmlns:c16="http://schemas.microsoft.com/office/drawing/2014/chart" uri="{C3380CC4-5D6E-409C-BE32-E72D297353CC}">
                  <c16:uniqueId val="{00000001-8157-4F96-B7CD-CFBAF422A0FA}"/>
                </c:ext>
              </c:extLst>
            </c:dLbl>
            <c:dLbl>
              <c:idx val="1"/>
              <c:layout>
                <c:manualLayout>
                  <c:x val="-1.4149913317853811E-2"/>
                  <c:y val="8.5108742105585403E-2"/>
                </c:manualLayout>
              </c:layout>
              <c:tx>
                <c:rich>
                  <a:bodyPr/>
                  <a:lstStyle/>
                  <a:p>
                    <a:r>
                      <a:rPr lang="en-US" sz="1100">
                        <a:solidFill>
                          <a:schemeClr val="tx1"/>
                        </a:solidFill>
                      </a:rPr>
                      <a:t>Veranderlike</a:t>
                    </a:r>
                    <a:r>
                      <a:rPr lang="en-US" sz="1100" baseline="0">
                        <a:solidFill>
                          <a:schemeClr val="tx1"/>
                        </a:solidFill>
                      </a:rPr>
                      <a:t> koste</a:t>
                    </a:r>
                    <a:endParaRPr lang="en-US" sz="1100">
                      <a:solidFill>
                        <a:schemeClr val="tx1"/>
                      </a:solidFill>
                    </a:endParaRP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8157-4F96-B7CD-CFBAF422A0FA}"/>
                </c:ext>
              </c:extLst>
            </c:dLbl>
            <c:dLbl>
              <c:idx val="2"/>
              <c:tx>
                <c:rich>
                  <a:bodyPr/>
                  <a:lstStyle/>
                  <a:p>
                    <a:r>
                      <a:rPr lang="en-US" sz="1100">
                        <a:solidFill>
                          <a:schemeClr val="tx1"/>
                        </a:solidFill>
                      </a:rPr>
                      <a:t>Vaste</a:t>
                    </a:r>
                    <a:r>
                      <a:rPr lang="en-US" sz="1100" baseline="0">
                        <a:solidFill>
                          <a:schemeClr val="tx1"/>
                        </a:solidFill>
                      </a:rPr>
                      <a:t> koste</a:t>
                    </a:r>
                    <a:endParaRPr lang="en-US" sz="1100">
                      <a:solidFill>
                        <a:schemeClr val="tx1"/>
                      </a:solidFill>
                    </a:endParaRP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8157-4F96-B7CD-CFBAF422A0FA}"/>
                </c:ext>
              </c:extLst>
            </c:dLbl>
            <c:dLbl>
              <c:idx val="3"/>
              <c:tx>
                <c:rich>
                  <a:bodyPr/>
                  <a:lstStyle/>
                  <a:p>
                    <a:r>
                      <a:rPr lang="en-US" sz="1100">
                        <a:solidFill>
                          <a:schemeClr val="tx1"/>
                        </a:solidFill>
                      </a:rPr>
                      <a:t>Wins</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8157-4F96-B7CD-CFBAF422A0FA}"/>
                </c:ext>
              </c:extLst>
            </c:dLbl>
            <c:dLbl>
              <c:idx val="4"/>
              <c:delete val="1"/>
              <c:extLst>
                <c:ext xmlns:c15="http://schemas.microsoft.com/office/drawing/2012/chart" uri="{CE6537A1-D6FC-4f65-9D91-7224C49458BB}"/>
                <c:ext xmlns:c16="http://schemas.microsoft.com/office/drawing/2014/chart" uri="{C3380CC4-5D6E-409C-BE32-E72D297353CC}">
                  <c16:uniqueId val="{00000009-8157-4F96-B7CD-CFBAF422A0F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Grafieke!$C$2:$C$6</c:f>
              <c:numCache>
                <c:formatCode>0</c:formatCode>
                <c:ptCount val="5"/>
                <c:pt idx="0" formatCode="General">
                  <c:v>0</c:v>
                </c:pt>
                <c:pt idx="1">
                  <c:v>43.320120694745491</c:v>
                </c:pt>
                <c:pt idx="2">
                  <c:v>13.93025225658095</c:v>
                </c:pt>
                <c:pt idx="3">
                  <c:v>42.749627048673567</c:v>
                </c:pt>
                <c:pt idx="4" formatCode="General">
                  <c:v>100</c:v>
                </c:pt>
              </c:numCache>
            </c:numRef>
          </c:val>
          <c:extLst>
            <c:ext xmlns:c16="http://schemas.microsoft.com/office/drawing/2014/chart" uri="{C3380CC4-5D6E-409C-BE32-E72D297353CC}">
              <c16:uniqueId val="{0000000A-8157-4F96-B7CD-CFBAF422A0FA}"/>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Grafieke!$D$1</c:f>
              <c:strCache>
                <c:ptCount val="1"/>
                <c:pt idx="0">
                  <c:v>Pointer</c:v>
                </c:pt>
              </c:strCache>
            </c:strRef>
          </c:tx>
          <c:dPt>
            <c:idx val="0"/>
            <c:bubble3D val="0"/>
            <c:spPr>
              <a:noFill/>
              <a:ln>
                <a:noFill/>
              </a:ln>
              <a:effectLst/>
            </c:spPr>
            <c:extLst>
              <c:ext xmlns:c16="http://schemas.microsoft.com/office/drawing/2014/chart" uri="{C3380CC4-5D6E-409C-BE32-E72D297353CC}">
                <c16:uniqueId val="{0000000C-8157-4F96-B7CD-CFBAF422A0FA}"/>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8157-4F96-B7CD-CFBAF422A0FA}"/>
              </c:ext>
            </c:extLst>
          </c:dPt>
          <c:dPt>
            <c:idx val="2"/>
            <c:bubble3D val="0"/>
            <c:spPr>
              <a:noFill/>
              <a:ln>
                <a:noFill/>
              </a:ln>
              <a:effectLst/>
            </c:spPr>
            <c:extLst>
              <c:ext xmlns:c16="http://schemas.microsoft.com/office/drawing/2014/chart" uri="{C3380CC4-5D6E-409C-BE32-E72D297353CC}">
                <c16:uniqueId val="{00000010-8157-4F96-B7CD-CFBAF422A0FA}"/>
              </c:ext>
            </c:extLst>
          </c:dPt>
          <c:val>
            <c:numRef>
              <c:f>Grafieke!$F$2:$F$4</c:f>
              <c:numCache>
                <c:formatCode>General</c:formatCode>
                <c:ptCount val="3"/>
                <c:pt idx="0" formatCode="0">
                  <c:v>42.749627048673567</c:v>
                </c:pt>
                <c:pt idx="1">
                  <c:v>1</c:v>
                </c:pt>
                <c:pt idx="2" formatCode="0">
                  <c:v>156.25037295132643</c:v>
                </c:pt>
              </c:numCache>
            </c:numRef>
          </c:val>
          <c:extLst>
            <c:ext xmlns:c16="http://schemas.microsoft.com/office/drawing/2014/chart" uri="{C3380CC4-5D6E-409C-BE32-E72D297353CC}">
              <c16:uniqueId val="{00000011-8157-4F96-B7CD-CFBAF422A0FA}"/>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Sonneblomwinsgewendheid</a:t>
            </a:r>
          </a:p>
        </c:rich>
      </c:tx>
      <c:overlay val="0"/>
    </c:title>
    <c:autoTitleDeleted val="0"/>
    <c:plotArea>
      <c:layout/>
      <c:doughnutChart>
        <c:varyColors val="1"/>
        <c:ser>
          <c:idx val="0"/>
          <c:order val="0"/>
          <c:tx>
            <c:strRef>
              <c:f>Grafieke!$A$18</c:f>
              <c:strCache>
                <c:ptCount val="1"/>
                <c:pt idx="0">
                  <c:v>Winsgewendheid: Sonneblom</c:v>
                </c:pt>
              </c:strCache>
            </c:strRef>
          </c:tx>
          <c:spPr>
            <a:solidFill>
              <a:srgbClr val="FFFF00"/>
            </a:solidFill>
          </c:spPr>
          <c:dPt>
            <c:idx val="0"/>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5982-451B-AFE4-EF4BA26EC4D5}"/>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5982-451B-AFE4-EF4BA26EC4D5}"/>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5982-451B-AFE4-EF4BA26EC4D5}"/>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5982-451B-AFE4-EF4BA26EC4D5}"/>
              </c:ext>
            </c:extLst>
          </c:dPt>
          <c:dPt>
            <c:idx val="4"/>
            <c:bubble3D val="0"/>
            <c:spPr>
              <a:noFill/>
              <a:ln>
                <a:noFill/>
              </a:ln>
              <a:effectLst/>
            </c:spPr>
            <c:extLst>
              <c:ext xmlns:c16="http://schemas.microsoft.com/office/drawing/2014/chart" uri="{C3380CC4-5D6E-409C-BE32-E72D297353CC}">
                <c16:uniqueId val="{00000009-5982-451B-AFE4-EF4BA26EC4D5}"/>
              </c:ext>
            </c:extLst>
          </c:dPt>
          <c:dLbls>
            <c:dLbl>
              <c:idx val="0"/>
              <c:delete val="1"/>
              <c:extLst>
                <c:ext xmlns:c15="http://schemas.microsoft.com/office/drawing/2012/chart" uri="{CE6537A1-D6FC-4f65-9D91-7224C49458BB}"/>
                <c:ext xmlns:c16="http://schemas.microsoft.com/office/drawing/2014/chart" uri="{C3380CC4-5D6E-409C-BE32-E72D297353CC}">
                  <c16:uniqueId val="{00000001-5982-451B-AFE4-EF4BA26EC4D5}"/>
                </c:ext>
              </c:extLst>
            </c:dLbl>
            <c:dLbl>
              <c:idx val="1"/>
              <c:tx>
                <c:rich>
                  <a:bodyPr/>
                  <a:lstStyle/>
                  <a:p>
                    <a:r>
                      <a:rPr lang="en-US"/>
                      <a:t>Veranderlike</a:t>
                    </a:r>
                    <a:r>
                      <a:rPr lang="en-US" baseline="0"/>
                      <a:t> koste</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82-451B-AFE4-EF4BA26EC4D5}"/>
                </c:ext>
              </c:extLst>
            </c:dLbl>
            <c:dLbl>
              <c:idx val="2"/>
              <c:tx>
                <c:rich>
                  <a:bodyPr/>
                  <a:lstStyle/>
                  <a:p>
                    <a:r>
                      <a:rPr lang="en-US"/>
                      <a:t>Vaste</a:t>
                    </a:r>
                    <a:r>
                      <a:rPr lang="en-US" baseline="0"/>
                      <a:t> koste</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5982-451B-AFE4-EF4BA26EC4D5}"/>
                </c:ext>
              </c:extLst>
            </c:dLbl>
            <c:dLbl>
              <c:idx val="3"/>
              <c:tx>
                <c:rich>
                  <a:bodyPr/>
                  <a:lstStyle/>
                  <a:p>
                    <a:r>
                      <a:rPr lang="en-US"/>
                      <a:t>Wins</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5982-451B-AFE4-EF4BA26EC4D5}"/>
                </c:ext>
              </c:extLst>
            </c:dLbl>
            <c:dLbl>
              <c:idx val="4"/>
              <c:delete val="1"/>
              <c:extLst>
                <c:ext xmlns:c15="http://schemas.microsoft.com/office/drawing/2012/chart" uri="{CE6537A1-D6FC-4f65-9D91-7224C49458BB}"/>
                <c:ext xmlns:c16="http://schemas.microsoft.com/office/drawing/2014/chart" uri="{C3380CC4-5D6E-409C-BE32-E72D297353CC}">
                  <c16:uniqueId val="{00000009-5982-451B-AFE4-EF4BA26EC4D5}"/>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Grafieke!$C$19:$C$23</c:f>
              <c:numCache>
                <c:formatCode>0</c:formatCode>
                <c:ptCount val="5"/>
                <c:pt idx="0" formatCode="General">
                  <c:v>0</c:v>
                </c:pt>
                <c:pt idx="1">
                  <c:v>32.011722113346977</c:v>
                </c:pt>
                <c:pt idx="2">
                  <c:v>20.294816217069542</c:v>
                </c:pt>
                <c:pt idx="3">
                  <c:v>47.693461669583485</c:v>
                </c:pt>
                <c:pt idx="4" formatCode="General">
                  <c:v>100</c:v>
                </c:pt>
              </c:numCache>
            </c:numRef>
          </c:val>
          <c:extLst>
            <c:ext xmlns:c16="http://schemas.microsoft.com/office/drawing/2014/chart" uri="{C3380CC4-5D6E-409C-BE32-E72D297353CC}">
              <c16:uniqueId val="{0000000A-5982-451B-AFE4-EF4BA26EC4D5}"/>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Grafieke!$D$18</c:f>
              <c:strCache>
                <c:ptCount val="1"/>
                <c:pt idx="0">
                  <c:v>Pointer</c:v>
                </c:pt>
              </c:strCache>
            </c:strRef>
          </c:tx>
          <c:dPt>
            <c:idx val="0"/>
            <c:bubble3D val="0"/>
            <c:spPr>
              <a:noFill/>
              <a:ln>
                <a:noFill/>
              </a:ln>
              <a:effectLst/>
            </c:spPr>
            <c:extLst>
              <c:ext xmlns:c16="http://schemas.microsoft.com/office/drawing/2014/chart" uri="{C3380CC4-5D6E-409C-BE32-E72D297353CC}">
                <c16:uniqueId val="{0000000C-5982-451B-AFE4-EF4BA26EC4D5}"/>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5982-451B-AFE4-EF4BA26EC4D5}"/>
              </c:ext>
            </c:extLst>
          </c:dPt>
          <c:dPt>
            <c:idx val="2"/>
            <c:bubble3D val="0"/>
            <c:spPr>
              <a:noFill/>
              <a:ln>
                <a:noFill/>
              </a:ln>
              <a:effectLst/>
            </c:spPr>
            <c:extLst>
              <c:ext xmlns:c16="http://schemas.microsoft.com/office/drawing/2014/chart" uri="{C3380CC4-5D6E-409C-BE32-E72D297353CC}">
                <c16:uniqueId val="{00000010-5982-451B-AFE4-EF4BA26EC4D5}"/>
              </c:ext>
            </c:extLst>
          </c:dPt>
          <c:val>
            <c:numRef>
              <c:f>Grafieke!$F$19:$F$21</c:f>
              <c:numCache>
                <c:formatCode>General</c:formatCode>
                <c:ptCount val="3"/>
                <c:pt idx="0" formatCode="0">
                  <c:v>47.693461669583485</c:v>
                </c:pt>
                <c:pt idx="1">
                  <c:v>1</c:v>
                </c:pt>
                <c:pt idx="2" formatCode="0">
                  <c:v>151.30653833041652</c:v>
                </c:pt>
              </c:numCache>
            </c:numRef>
          </c:val>
          <c:extLst>
            <c:ext xmlns:c16="http://schemas.microsoft.com/office/drawing/2014/chart" uri="{C3380CC4-5D6E-409C-BE32-E72D297353CC}">
              <c16:uniqueId val="{00000011-5982-451B-AFE4-EF4BA26EC4D5}"/>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Sojaboonwinsgewendheid</a:t>
            </a:r>
          </a:p>
        </c:rich>
      </c:tx>
      <c:overlay val="0"/>
    </c:title>
    <c:autoTitleDeleted val="0"/>
    <c:plotArea>
      <c:layout/>
      <c:doughnutChart>
        <c:varyColors val="1"/>
        <c:ser>
          <c:idx val="0"/>
          <c:order val="0"/>
          <c:tx>
            <c:strRef>
              <c:f>Grafieke!$A$35</c:f>
              <c:strCache>
                <c:ptCount val="1"/>
                <c:pt idx="0">
                  <c:v>Winsgewendheid: Sojabone</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C7A3-4D97-88B7-66DF53256292}"/>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C7A3-4D97-88B7-66DF53256292}"/>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C7A3-4D97-88B7-66DF53256292}"/>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C7A3-4D97-88B7-66DF53256292}"/>
              </c:ext>
            </c:extLst>
          </c:dPt>
          <c:dPt>
            <c:idx val="4"/>
            <c:bubble3D val="0"/>
            <c:spPr>
              <a:noFill/>
              <a:ln>
                <a:noFill/>
              </a:ln>
              <a:effectLst/>
            </c:spPr>
            <c:extLst>
              <c:ext xmlns:c16="http://schemas.microsoft.com/office/drawing/2014/chart" uri="{C3380CC4-5D6E-409C-BE32-E72D297353CC}">
                <c16:uniqueId val="{00000009-C7A3-4D97-88B7-66DF53256292}"/>
              </c:ext>
            </c:extLst>
          </c:dPt>
          <c:dLbls>
            <c:dLbl>
              <c:idx val="0"/>
              <c:delete val="1"/>
              <c:extLst>
                <c:ext xmlns:c15="http://schemas.microsoft.com/office/drawing/2012/chart" uri="{CE6537A1-D6FC-4f65-9D91-7224C49458BB}"/>
                <c:ext xmlns:c16="http://schemas.microsoft.com/office/drawing/2014/chart" uri="{C3380CC4-5D6E-409C-BE32-E72D297353CC}">
                  <c16:uniqueId val="{00000001-C7A3-4D97-88B7-66DF53256292}"/>
                </c:ext>
              </c:extLst>
            </c:dLbl>
            <c:dLbl>
              <c:idx val="1"/>
              <c:tx>
                <c:rich>
                  <a:bodyPr/>
                  <a:lstStyle/>
                  <a:p>
                    <a:r>
                      <a:rPr lang="en-US"/>
                      <a:t>Veranderlike</a:t>
                    </a:r>
                    <a:r>
                      <a:rPr lang="en-US" baseline="0"/>
                      <a:t> koste</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C7A3-4D97-88B7-66DF53256292}"/>
                </c:ext>
              </c:extLst>
            </c:dLbl>
            <c:dLbl>
              <c:idx val="2"/>
              <c:tx>
                <c:rich>
                  <a:bodyPr/>
                  <a:lstStyle/>
                  <a:p>
                    <a:r>
                      <a:rPr lang="en-US"/>
                      <a:t>Vaste</a:t>
                    </a:r>
                    <a:r>
                      <a:rPr lang="en-US" baseline="0"/>
                      <a:t> koste</a:t>
                    </a:r>
                    <a:endParaRPr lang="en-US"/>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C7A3-4D97-88B7-66DF53256292}"/>
                </c:ext>
              </c:extLst>
            </c:dLbl>
            <c:dLbl>
              <c:idx val="3"/>
              <c:tx>
                <c:rich>
                  <a:bodyPr/>
                  <a:lstStyle/>
                  <a:p>
                    <a:r>
                      <a:rPr lang="en-US"/>
                      <a:t>Wins</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C7A3-4D97-88B7-66DF53256292}"/>
                </c:ext>
              </c:extLst>
            </c:dLbl>
            <c:dLbl>
              <c:idx val="4"/>
              <c:delete val="1"/>
              <c:extLst>
                <c:ext xmlns:c15="http://schemas.microsoft.com/office/drawing/2012/chart" uri="{CE6537A1-D6FC-4f65-9D91-7224C49458BB}"/>
                <c:ext xmlns:c16="http://schemas.microsoft.com/office/drawing/2014/chart" uri="{C3380CC4-5D6E-409C-BE32-E72D297353CC}">
                  <c16:uniqueId val="{00000009-C7A3-4D97-88B7-66DF53256292}"/>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Grafieke!$C$36:$C$40</c:f>
              <c:numCache>
                <c:formatCode>0</c:formatCode>
                <c:ptCount val="5"/>
                <c:pt idx="0" formatCode="General">
                  <c:v>0</c:v>
                </c:pt>
                <c:pt idx="1">
                  <c:v>39.564773357272557</c:v>
                </c:pt>
                <c:pt idx="2">
                  <c:v>12.726473675911793</c:v>
                </c:pt>
                <c:pt idx="3">
                  <c:v>47.708752966815645</c:v>
                </c:pt>
                <c:pt idx="4" formatCode="General">
                  <c:v>100</c:v>
                </c:pt>
              </c:numCache>
            </c:numRef>
          </c:val>
          <c:extLst>
            <c:ext xmlns:c16="http://schemas.microsoft.com/office/drawing/2014/chart" uri="{C3380CC4-5D6E-409C-BE32-E72D297353CC}">
              <c16:uniqueId val="{0000000A-C7A3-4D97-88B7-66DF53256292}"/>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Grafieke!$D$35</c:f>
              <c:strCache>
                <c:ptCount val="1"/>
                <c:pt idx="0">
                  <c:v>Pointer</c:v>
                </c:pt>
              </c:strCache>
            </c:strRef>
          </c:tx>
          <c:dPt>
            <c:idx val="0"/>
            <c:bubble3D val="0"/>
            <c:spPr>
              <a:noFill/>
            </c:spPr>
            <c:extLst>
              <c:ext xmlns:c16="http://schemas.microsoft.com/office/drawing/2014/chart" uri="{C3380CC4-5D6E-409C-BE32-E72D297353CC}">
                <c16:uniqueId val="{0000000C-C7A3-4D97-88B7-66DF53256292}"/>
              </c:ext>
            </c:extLst>
          </c:dPt>
          <c:dPt>
            <c:idx val="1"/>
            <c:bubble3D val="0"/>
            <c:spPr>
              <a:solidFill>
                <a:schemeClr val="tx1"/>
              </a:solidFill>
            </c:spPr>
            <c:extLst>
              <c:ext xmlns:c16="http://schemas.microsoft.com/office/drawing/2014/chart" uri="{C3380CC4-5D6E-409C-BE32-E72D297353CC}">
                <c16:uniqueId val="{0000000E-C7A3-4D97-88B7-66DF53256292}"/>
              </c:ext>
            </c:extLst>
          </c:dPt>
          <c:dPt>
            <c:idx val="2"/>
            <c:bubble3D val="0"/>
            <c:spPr>
              <a:noFill/>
            </c:spPr>
            <c:extLst>
              <c:ext xmlns:c16="http://schemas.microsoft.com/office/drawing/2014/chart" uri="{C3380CC4-5D6E-409C-BE32-E72D297353CC}">
                <c16:uniqueId val="{00000010-C7A3-4D97-88B7-66DF53256292}"/>
              </c:ext>
            </c:extLst>
          </c:dPt>
          <c:val>
            <c:numRef>
              <c:f>Grafieke!$F$36:$F$38</c:f>
              <c:numCache>
                <c:formatCode>General</c:formatCode>
                <c:ptCount val="3"/>
                <c:pt idx="0" formatCode="0">
                  <c:v>47.708752966815645</c:v>
                </c:pt>
                <c:pt idx="1">
                  <c:v>1</c:v>
                </c:pt>
                <c:pt idx="2" formatCode="0">
                  <c:v>151.29124703318436</c:v>
                </c:pt>
              </c:numCache>
            </c:numRef>
          </c:val>
          <c:extLst>
            <c:ext xmlns:c16="http://schemas.microsoft.com/office/drawing/2014/chart" uri="{C3380CC4-5D6E-409C-BE32-E72D297353CC}">
              <c16:uniqueId val="{00000011-C7A3-4D97-88B7-66DF53256292}"/>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Bt Maize profitability</a:t>
            </a:r>
          </a:p>
        </c:rich>
      </c:tx>
      <c:overlay val="0"/>
    </c:title>
    <c:autoTitleDeleted val="0"/>
    <c:plotArea>
      <c:layout/>
      <c:doughnutChart>
        <c:varyColors val="1"/>
        <c:ser>
          <c:idx val="0"/>
          <c:order val="0"/>
          <c:tx>
            <c:strRef>
              <c:f>Grafieke!$A$1</c:f>
              <c:strCache>
                <c:ptCount val="1"/>
                <c:pt idx="0">
                  <c:v>Winsgewendheid: Mielies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D8DF-437C-A76F-E7259968761B}"/>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D8DF-437C-A76F-E7259968761B}"/>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D8DF-437C-A76F-E7259968761B}"/>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D8DF-437C-A76F-E7259968761B}"/>
              </c:ext>
            </c:extLst>
          </c:dPt>
          <c:dPt>
            <c:idx val="4"/>
            <c:bubble3D val="0"/>
            <c:spPr>
              <a:noFill/>
              <a:ln>
                <a:noFill/>
              </a:ln>
              <a:effectLst/>
            </c:spPr>
            <c:extLst>
              <c:ext xmlns:c16="http://schemas.microsoft.com/office/drawing/2014/chart" uri="{C3380CC4-5D6E-409C-BE32-E72D297353CC}">
                <c16:uniqueId val="{00000009-D8DF-437C-A76F-E7259968761B}"/>
              </c:ext>
            </c:extLst>
          </c:dPt>
          <c:dLbls>
            <c:dLbl>
              <c:idx val="0"/>
              <c:delete val="1"/>
              <c:extLst>
                <c:ext xmlns:c15="http://schemas.microsoft.com/office/drawing/2012/chart" uri="{CE6537A1-D6FC-4f65-9D91-7224C49458BB}"/>
                <c:ext xmlns:c16="http://schemas.microsoft.com/office/drawing/2014/chart" uri="{C3380CC4-5D6E-409C-BE32-E72D297353CC}">
                  <c16:uniqueId val="{00000001-D8DF-437C-A76F-E7259968761B}"/>
                </c:ext>
              </c:extLst>
            </c:dLbl>
            <c:dLbl>
              <c:idx val="1"/>
              <c:layout>
                <c:manualLayout>
                  <c:x val="-1.4149913317853811E-2"/>
                  <c:y val="8.5108742105585403E-2"/>
                </c:manualLayout>
              </c:layout>
              <c:tx>
                <c:rich>
                  <a:bodyPr/>
                  <a:lstStyle/>
                  <a:p>
                    <a:r>
                      <a:rPr lang="en-US" sz="1100">
                        <a:solidFill>
                          <a:schemeClr val="tx1"/>
                        </a:solidFill>
                      </a:rPr>
                      <a:t>Variable costs</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D8DF-437C-A76F-E7259968761B}"/>
                </c:ext>
              </c:extLst>
            </c:dLbl>
            <c:dLbl>
              <c:idx val="2"/>
              <c:tx>
                <c:rich>
                  <a:bodyPr/>
                  <a:lstStyle/>
                  <a:p>
                    <a:r>
                      <a:rPr lang="en-US" sz="1100">
                        <a:solidFill>
                          <a:schemeClr val="tx1"/>
                        </a:solidFill>
                      </a:rPr>
                      <a:t>Fixed costs</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D8DF-437C-A76F-E7259968761B}"/>
                </c:ext>
              </c:extLst>
            </c:dLbl>
            <c:dLbl>
              <c:idx val="3"/>
              <c:tx>
                <c:rich>
                  <a:bodyPr/>
                  <a:lstStyle/>
                  <a:p>
                    <a:r>
                      <a:rPr lang="en-US" sz="1100">
                        <a:solidFill>
                          <a:schemeClr val="tx1"/>
                        </a:solidFill>
                      </a:rPr>
                      <a:t>Profit</a:t>
                    </a:r>
                  </a:p>
                </c:rich>
              </c:tx>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7-D8DF-437C-A76F-E7259968761B}"/>
                </c:ext>
              </c:extLst>
            </c:dLbl>
            <c:dLbl>
              <c:idx val="4"/>
              <c:delete val="1"/>
              <c:extLst>
                <c:ext xmlns:c15="http://schemas.microsoft.com/office/drawing/2012/chart" uri="{CE6537A1-D6FC-4f65-9D91-7224C49458BB}"/>
                <c:ext xmlns:c16="http://schemas.microsoft.com/office/drawing/2014/chart" uri="{C3380CC4-5D6E-409C-BE32-E72D297353CC}">
                  <c16:uniqueId val="{00000009-D8DF-437C-A76F-E7259968761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Grafieke!$C$2:$C$6</c:f>
              <c:numCache>
                <c:formatCode>0</c:formatCode>
                <c:ptCount val="5"/>
                <c:pt idx="0" formatCode="General">
                  <c:v>0</c:v>
                </c:pt>
                <c:pt idx="1">
                  <c:v>43.320120694745491</c:v>
                </c:pt>
                <c:pt idx="2">
                  <c:v>13.93025225658095</c:v>
                </c:pt>
                <c:pt idx="3">
                  <c:v>42.749627048673567</c:v>
                </c:pt>
                <c:pt idx="4" formatCode="General">
                  <c:v>100</c:v>
                </c:pt>
              </c:numCache>
            </c:numRef>
          </c:val>
          <c:extLst>
            <c:ext xmlns:c16="http://schemas.microsoft.com/office/drawing/2014/chart" uri="{C3380CC4-5D6E-409C-BE32-E72D297353CC}">
              <c16:uniqueId val="{0000000A-D8DF-437C-A76F-E7259968761B}"/>
            </c:ext>
          </c:extLst>
        </c:ser>
        <c:dLbls>
          <c:showLegendKey val="0"/>
          <c:showVal val="0"/>
          <c:showCatName val="0"/>
          <c:showSerName val="0"/>
          <c:showPercent val="1"/>
          <c:showBubbleSize val="0"/>
          <c:showLeaderLines val="1"/>
        </c:dLbls>
        <c:firstSliceAng val="270"/>
        <c:holeSize val="50"/>
      </c:doughnutChart>
      <c:pieChart>
        <c:varyColors val="1"/>
        <c:ser>
          <c:idx val="1"/>
          <c:order val="1"/>
          <c:tx>
            <c:strRef>
              <c:f>Grafieke!$D$1</c:f>
              <c:strCache>
                <c:ptCount val="1"/>
                <c:pt idx="0">
                  <c:v>Pointer</c:v>
                </c:pt>
              </c:strCache>
            </c:strRef>
          </c:tx>
          <c:dPt>
            <c:idx val="0"/>
            <c:bubble3D val="0"/>
            <c:spPr>
              <a:noFill/>
              <a:ln>
                <a:noFill/>
              </a:ln>
              <a:effectLst/>
            </c:spPr>
            <c:extLst>
              <c:ext xmlns:c16="http://schemas.microsoft.com/office/drawing/2014/chart" uri="{C3380CC4-5D6E-409C-BE32-E72D297353CC}">
                <c16:uniqueId val="{0000000C-D8DF-437C-A76F-E7259968761B}"/>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E-D8DF-437C-A76F-E7259968761B}"/>
              </c:ext>
            </c:extLst>
          </c:dPt>
          <c:dPt>
            <c:idx val="2"/>
            <c:bubble3D val="0"/>
            <c:spPr>
              <a:noFill/>
              <a:ln>
                <a:noFill/>
              </a:ln>
              <a:effectLst/>
            </c:spPr>
            <c:extLst>
              <c:ext xmlns:c16="http://schemas.microsoft.com/office/drawing/2014/chart" uri="{C3380CC4-5D6E-409C-BE32-E72D297353CC}">
                <c16:uniqueId val="{00000010-D8DF-437C-A76F-E7259968761B}"/>
              </c:ext>
            </c:extLst>
          </c:dPt>
          <c:val>
            <c:numRef>
              <c:f>Grafieke!$F$2:$F$4</c:f>
              <c:numCache>
                <c:formatCode>General</c:formatCode>
                <c:ptCount val="3"/>
                <c:pt idx="0" formatCode="0">
                  <c:v>42.749627048673567</c:v>
                </c:pt>
                <c:pt idx="1">
                  <c:v>1</c:v>
                </c:pt>
                <c:pt idx="2" formatCode="0">
                  <c:v>156.25037295132643</c:v>
                </c:pt>
              </c:numCache>
            </c:numRef>
          </c:val>
          <c:extLst>
            <c:ext xmlns:c16="http://schemas.microsoft.com/office/drawing/2014/chart" uri="{C3380CC4-5D6E-409C-BE32-E72D297353CC}">
              <c16:uniqueId val="{00000011-D8DF-437C-A76F-E7259968761B}"/>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7.jpeg"/></Relationships>
</file>

<file path=xl/drawings/_rels/drawing7.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4</xdr:col>
      <xdr:colOff>318248</xdr:colOff>
      <xdr:row>1</xdr:row>
      <xdr:rowOff>69477</xdr:rowOff>
    </xdr:from>
    <xdr:to>
      <xdr:col>5</xdr:col>
      <xdr:colOff>565000</xdr:colOff>
      <xdr:row>5</xdr:row>
      <xdr:rowOff>122843</xdr:rowOff>
    </xdr:to>
    <xdr:pic>
      <xdr:nvPicPr>
        <xdr:cNvPr id="2" name="Picture 1" descr="GrainSA - YouTube">
          <a:extLst>
            <a:ext uri="{FF2B5EF4-FFF2-40B4-BE49-F238E27FC236}">
              <a16:creationId xmlns:a16="http://schemas.microsoft.com/office/drawing/2014/main" id="{A72E1DA2-D137-4361-8985-B6E4DAFC2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3236" y="428065"/>
          <a:ext cx="981857" cy="878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xdr:colOff>
      <xdr:row>43</xdr:row>
      <xdr:rowOff>15240</xdr:rowOff>
    </xdr:from>
    <xdr:to>
      <xdr:col>0</xdr:col>
      <xdr:colOff>815340</xdr:colOff>
      <xdr:row>46</xdr:row>
      <xdr:rowOff>129540</xdr:rowOff>
    </xdr:to>
    <xdr:pic>
      <xdr:nvPicPr>
        <xdr:cNvPr id="6680" name="Picture 3" descr="http://www.maizetrust.co.za/images/masthead.jpg">
          <a:extLst>
            <a:ext uri="{FF2B5EF4-FFF2-40B4-BE49-F238E27FC236}">
              <a16:creationId xmlns:a16="http://schemas.microsoft.com/office/drawing/2014/main" id="{6BC3507D-ACF1-D76F-40F4-D01C7E908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7505700"/>
          <a:ext cx="80010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19051</xdr:colOff>
      <xdr:row>0</xdr:row>
      <xdr:rowOff>0</xdr:rowOff>
    </xdr:from>
    <xdr:to>
      <xdr:col>9</xdr:col>
      <xdr:colOff>961800</xdr:colOff>
      <xdr:row>2</xdr:row>
      <xdr:rowOff>291778</xdr:rowOff>
    </xdr:to>
    <xdr:pic>
      <xdr:nvPicPr>
        <xdr:cNvPr id="2" name="Picture 1" descr="GrainSA - YouTube">
          <a:extLst>
            <a:ext uri="{FF2B5EF4-FFF2-40B4-BE49-F238E27FC236}">
              <a16:creationId xmlns:a16="http://schemas.microsoft.com/office/drawing/2014/main" id="{804C4A18-EE5F-3542-CDBA-5EA05AEC198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315701" y="0"/>
          <a:ext cx="952274" cy="8833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43</xdr:row>
      <xdr:rowOff>3334</xdr:rowOff>
    </xdr:from>
    <xdr:to>
      <xdr:col>0</xdr:col>
      <xdr:colOff>1273968</xdr:colOff>
      <xdr:row>46</xdr:row>
      <xdr:rowOff>165258</xdr:rowOff>
    </xdr:to>
    <xdr:pic>
      <xdr:nvPicPr>
        <xdr:cNvPr id="7714" name="Picture 3" descr="http://www.maizetrust.co.za/images/masthead.jpg">
          <a:extLst>
            <a:ext uri="{FF2B5EF4-FFF2-40B4-BE49-F238E27FC236}">
              <a16:creationId xmlns:a16="http://schemas.microsoft.com/office/drawing/2014/main" id="{200B6AFE-4B50-5240-1DEE-5E2DF80C6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59115"/>
          <a:ext cx="1273968" cy="6619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xdr:colOff>
      <xdr:row>0</xdr:row>
      <xdr:rowOff>23813</xdr:rowOff>
    </xdr:from>
    <xdr:to>
      <xdr:col>8</xdr:col>
      <xdr:colOff>1679</xdr:colOff>
      <xdr:row>2</xdr:row>
      <xdr:rowOff>289555</xdr:rowOff>
    </xdr:to>
    <xdr:pic>
      <xdr:nvPicPr>
        <xdr:cNvPr id="2" name="Picture 1" descr="GrainSA - YouTube">
          <a:extLst>
            <a:ext uri="{FF2B5EF4-FFF2-40B4-BE49-F238E27FC236}">
              <a16:creationId xmlns:a16="http://schemas.microsoft.com/office/drawing/2014/main" id="{D1849190-E5E0-4ABE-907F-B560EBF109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298907" y="23813"/>
          <a:ext cx="973229" cy="874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15240</xdr:colOff>
      <xdr:row>43</xdr:row>
      <xdr:rowOff>15240</xdr:rowOff>
    </xdr:from>
    <xdr:to>
      <xdr:col>0</xdr:col>
      <xdr:colOff>815340</xdr:colOff>
      <xdr:row>46</xdr:row>
      <xdr:rowOff>129540</xdr:rowOff>
    </xdr:to>
    <xdr:pic>
      <xdr:nvPicPr>
        <xdr:cNvPr id="14890" name="Picture 3" descr="http://www.maizetrust.co.za/images/masthead.jpg">
          <a:extLst>
            <a:ext uri="{FF2B5EF4-FFF2-40B4-BE49-F238E27FC236}">
              <a16:creationId xmlns:a16="http://schemas.microsoft.com/office/drawing/2014/main" id="{1B72545B-9341-FA5C-150E-DC32FD52B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7650480"/>
          <a:ext cx="80010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571500</xdr:colOff>
      <xdr:row>0</xdr:row>
      <xdr:rowOff>87779</xdr:rowOff>
    </xdr:from>
    <xdr:to>
      <xdr:col>6</xdr:col>
      <xdr:colOff>575085</xdr:colOff>
      <xdr:row>2</xdr:row>
      <xdr:rowOff>373843</xdr:rowOff>
    </xdr:to>
    <xdr:pic>
      <xdr:nvPicPr>
        <xdr:cNvPr id="2" name="Picture 1" descr="GrainSA - YouTube">
          <a:extLst>
            <a:ext uri="{FF2B5EF4-FFF2-40B4-BE49-F238E27FC236}">
              <a16:creationId xmlns:a16="http://schemas.microsoft.com/office/drawing/2014/main" id="{734F4D3A-2815-4626-9258-21B00B7EF6E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01250" y="87779"/>
          <a:ext cx="995772" cy="858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9</xdr:col>
      <xdr:colOff>108857</xdr:colOff>
      <xdr:row>2</xdr:row>
      <xdr:rowOff>326571</xdr:rowOff>
    </xdr:to>
    <xdr:pic>
      <xdr:nvPicPr>
        <xdr:cNvPr id="2" name="Picture 1" descr="GrainSA - YouTube">
          <a:extLst>
            <a:ext uri="{FF2B5EF4-FFF2-40B4-BE49-F238E27FC236}">
              <a16:creationId xmlns:a16="http://schemas.microsoft.com/office/drawing/2014/main" id="{F9C1DBDB-F46F-4C80-9365-987B999DAB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29257" y="0"/>
          <a:ext cx="979714"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15240</xdr:colOff>
      <xdr:row>43</xdr:row>
      <xdr:rowOff>15240</xdr:rowOff>
    </xdr:from>
    <xdr:to>
      <xdr:col>0</xdr:col>
      <xdr:colOff>815340</xdr:colOff>
      <xdr:row>46</xdr:row>
      <xdr:rowOff>129540</xdr:rowOff>
    </xdr:to>
    <xdr:pic>
      <xdr:nvPicPr>
        <xdr:cNvPr id="3" name="Picture 3" descr="http://www.maizetrust.co.za/images/masthead.jpg">
          <a:extLst>
            <a:ext uri="{FF2B5EF4-FFF2-40B4-BE49-F238E27FC236}">
              <a16:creationId xmlns:a16="http://schemas.microsoft.com/office/drawing/2014/main" id="{4A2BB161-CAF8-4F25-AED5-7716CC8A9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7200900"/>
          <a:ext cx="800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958942</xdr:colOff>
      <xdr:row>2</xdr:row>
      <xdr:rowOff>283914</xdr:rowOff>
    </xdr:to>
    <xdr:pic>
      <xdr:nvPicPr>
        <xdr:cNvPr id="2" name="Picture 1" descr="GrainSA - YouTube">
          <a:extLst>
            <a:ext uri="{FF2B5EF4-FFF2-40B4-BE49-F238E27FC236}">
              <a16:creationId xmlns:a16="http://schemas.microsoft.com/office/drawing/2014/main" id="{5F0237C5-515F-4105-A539-34F2F19D4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78143" y="0"/>
          <a:ext cx="958942" cy="8717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43</xdr:row>
      <xdr:rowOff>1905</xdr:rowOff>
    </xdr:from>
    <xdr:to>
      <xdr:col>0</xdr:col>
      <xdr:colOff>800100</xdr:colOff>
      <xdr:row>46</xdr:row>
      <xdr:rowOff>112395</xdr:rowOff>
    </xdr:to>
    <xdr:pic>
      <xdr:nvPicPr>
        <xdr:cNvPr id="3" name="Picture 3" descr="http://www.maizetrust.co.za/images/masthead.jpg">
          <a:extLst>
            <a:ext uri="{FF2B5EF4-FFF2-40B4-BE49-F238E27FC236}">
              <a16:creationId xmlns:a16="http://schemas.microsoft.com/office/drawing/2014/main" id="{D18BCD38-F661-4DD1-A873-F0BF404D5A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440930"/>
          <a:ext cx="80010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38</xdr:row>
      <xdr:rowOff>0</xdr:rowOff>
    </xdr:from>
    <xdr:to>
      <xdr:col>5</xdr:col>
      <xdr:colOff>769620</xdr:colOff>
      <xdr:row>55</xdr:row>
      <xdr:rowOff>76200</xdr:rowOff>
    </xdr:to>
    <xdr:graphicFrame macro="">
      <xdr:nvGraphicFramePr>
        <xdr:cNvPr id="154647" name="Chart 1">
          <a:extLst>
            <a:ext uri="{FF2B5EF4-FFF2-40B4-BE49-F238E27FC236}">
              <a16:creationId xmlns:a16="http://schemas.microsoft.com/office/drawing/2014/main" id="{13E40D41-192B-1139-9CA3-83366CFFB6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31041</xdr:colOff>
      <xdr:row>0</xdr:row>
      <xdr:rowOff>0</xdr:rowOff>
    </xdr:from>
    <xdr:to>
      <xdr:col>7</xdr:col>
      <xdr:colOff>437688</xdr:colOff>
      <xdr:row>6</xdr:row>
      <xdr:rowOff>12551</xdr:rowOff>
    </xdr:to>
    <xdr:pic>
      <xdr:nvPicPr>
        <xdr:cNvPr id="3" name="Picture 1" descr="GrainSA - YouTube">
          <a:extLst>
            <a:ext uri="{FF2B5EF4-FFF2-40B4-BE49-F238E27FC236}">
              <a16:creationId xmlns:a16="http://schemas.microsoft.com/office/drawing/2014/main" id="{8323F2D9-DE56-4BEB-9070-8E649EA16F5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96382" y="0"/>
          <a:ext cx="1050536" cy="9237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602239</xdr:colOff>
      <xdr:row>16</xdr:row>
      <xdr:rowOff>174119</xdr:rowOff>
    </xdr:from>
    <xdr:to>
      <xdr:col>16</xdr:col>
      <xdr:colOff>67456</xdr:colOff>
      <xdr:row>28</xdr:row>
      <xdr:rowOff>132032</xdr:rowOff>
    </xdr:to>
    <xdr:graphicFrame macro="">
      <xdr:nvGraphicFramePr>
        <xdr:cNvPr id="3" name="Chart 3">
          <a:extLst>
            <a:ext uri="{FF2B5EF4-FFF2-40B4-BE49-F238E27FC236}">
              <a16:creationId xmlns:a16="http://schemas.microsoft.com/office/drawing/2014/main" id="{9169BA33-D257-431D-8FD2-C269D43CF0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624272</xdr:colOff>
      <xdr:row>33</xdr:row>
      <xdr:rowOff>16118</xdr:rowOff>
    </xdr:from>
    <xdr:to>
      <xdr:col>16</xdr:col>
      <xdr:colOff>89489</xdr:colOff>
      <xdr:row>44</xdr:row>
      <xdr:rowOff>161770</xdr:rowOff>
    </xdr:to>
    <xdr:graphicFrame macro="">
      <xdr:nvGraphicFramePr>
        <xdr:cNvPr id="4" name="Chart 4">
          <a:extLst>
            <a:ext uri="{FF2B5EF4-FFF2-40B4-BE49-F238E27FC236}">
              <a16:creationId xmlns:a16="http://schemas.microsoft.com/office/drawing/2014/main" id="{350C9B6F-5FCD-416C-9757-E196BB51D0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548468</xdr:colOff>
      <xdr:row>0</xdr:row>
      <xdr:rowOff>0</xdr:rowOff>
    </xdr:from>
    <xdr:to>
      <xdr:col>27</xdr:col>
      <xdr:colOff>13685</xdr:colOff>
      <xdr:row>11</xdr:row>
      <xdr:rowOff>145652</xdr:rowOff>
    </xdr:to>
    <xdr:graphicFrame macro="">
      <xdr:nvGraphicFramePr>
        <xdr:cNvPr id="5" name="Chart 1">
          <a:extLst>
            <a:ext uri="{FF2B5EF4-FFF2-40B4-BE49-F238E27FC236}">
              <a16:creationId xmlns:a16="http://schemas.microsoft.com/office/drawing/2014/main" id="{4B877339-5B7D-433B-93D7-AF64F9CCAC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0</xdr:colOff>
      <xdr:row>17</xdr:row>
      <xdr:rowOff>0</xdr:rowOff>
    </xdr:from>
    <xdr:to>
      <xdr:col>27</xdr:col>
      <xdr:colOff>94695</xdr:colOff>
      <xdr:row>28</xdr:row>
      <xdr:rowOff>145653</xdr:rowOff>
    </xdr:to>
    <xdr:graphicFrame macro="">
      <xdr:nvGraphicFramePr>
        <xdr:cNvPr id="6" name="Chart 3">
          <a:extLst>
            <a:ext uri="{FF2B5EF4-FFF2-40B4-BE49-F238E27FC236}">
              <a16:creationId xmlns:a16="http://schemas.microsoft.com/office/drawing/2014/main" id="{CC37CC54-083D-42AE-A087-DEA46FBA9F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11044</xdr:colOff>
      <xdr:row>33</xdr:row>
      <xdr:rowOff>0</xdr:rowOff>
    </xdr:from>
    <xdr:to>
      <xdr:col>27</xdr:col>
      <xdr:colOff>105739</xdr:colOff>
      <xdr:row>44</xdr:row>
      <xdr:rowOff>145652</xdr:rowOff>
    </xdr:to>
    <xdr:graphicFrame macro="">
      <xdr:nvGraphicFramePr>
        <xdr:cNvPr id="7" name="Chart 4">
          <a:extLst>
            <a:ext uri="{FF2B5EF4-FFF2-40B4-BE49-F238E27FC236}">
              <a16:creationId xmlns:a16="http://schemas.microsoft.com/office/drawing/2014/main" id="{BABAC9D0-8C88-4EEE-B223-07A1AC01A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0</xdr:row>
      <xdr:rowOff>0</xdr:rowOff>
    </xdr:from>
    <xdr:to>
      <xdr:col>16</xdr:col>
      <xdr:colOff>94694</xdr:colOff>
      <xdr:row>11</xdr:row>
      <xdr:rowOff>145652</xdr:rowOff>
    </xdr:to>
    <xdr:graphicFrame macro="">
      <xdr:nvGraphicFramePr>
        <xdr:cNvPr id="9" name="Chart 1">
          <a:extLst>
            <a:ext uri="{FF2B5EF4-FFF2-40B4-BE49-F238E27FC236}">
              <a16:creationId xmlns:a16="http://schemas.microsoft.com/office/drawing/2014/main" id="{5914579F-D0ED-4B98-89CB-8EE1B8C7C1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saadcprd01\gsadata\Bedryfsbediening\Produksie\Produksie%20Begroting\Somer%20gewas%20streke\Somer%20begrotings\2017-18\GSA-17-18%20Noordwes%20begroting%20North%20West%20budge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Users\petru\AppData\Local\Microsoft\Windows\Temporary%20Internet%20Files\Content.Outlook\OCSLA1IY\GSA-18-19%20Noordwes%20mode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SA-16-17%20Noordwes%20Vrystaat%20begroting%20-%20North%20west%20Free%20state%20budge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Bedryfsbediening/Produksie/Produksie%20Begroting/Somer%20gewas%20streke/Somer%20modelle/2018-19/GSA-18-19%20Oos%20Vrystaat%20model.xlsx" TargetMode="External"/><Relationship Id="rId1" Type="http://schemas.openxmlformats.org/officeDocument/2006/relationships/externalLinkPath" Target="/Bedryfsbediening/Produksie/Produksie%20Begroting/Somer%20gewas%20streke/Somer%20modelle/2018-19/GSA-18-19%20Oos%20Vrystaat%20mod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yse + Sensatiwiteitsanalise"/>
      <sheetName val="W-Mielie "/>
      <sheetName val="W-BT Mielies"/>
      <sheetName val="W-Roundup R mielies "/>
      <sheetName val="Stapelgeen Mielie"/>
      <sheetName val="Sonneblom"/>
      <sheetName val="Sojabone"/>
      <sheetName val="Graansorghum"/>
      <sheetName val="Grondbone"/>
      <sheetName val="Bes-mielies"/>
    </sheetNames>
    <sheetDataSet>
      <sheetData sheetId="0"/>
      <sheetData sheetId="1"/>
      <sheetData sheetId="2">
        <row r="9">
          <cell r="K9">
            <v>2.5</v>
          </cell>
        </row>
        <row r="10">
          <cell r="K10">
            <v>3</v>
          </cell>
        </row>
        <row r="11">
          <cell r="K11">
            <v>3.5</v>
          </cell>
        </row>
        <row r="12">
          <cell r="K12">
            <v>4</v>
          </cell>
        </row>
        <row r="13">
          <cell r="K13">
            <v>4.5</v>
          </cell>
        </row>
        <row r="14">
          <cell r="K14">
            <v>5</v>
          </cell>
        </row>
      </sheetData>
      <sheetData sheetId="3"/>
      <sheetData sheetId="4"/>
      <sheetData sheetId="5">
        <row r="9">
          <cell r="K9">
            <v>1</v>
          </cell>
        </row>
        <row r="10">
          <cell r="K10">
            <v>1.25</v>
          </cell>
        </row>
        <row r="11">
          <cell r="K11">
            <v>1.5</v>
          </cell>
        </row>
        <row r="12">
          <cell r="K12">
            <v>1.75</v>
          </cell>
        </row>
        <row r="13">
          <cell r="K13">
            <v>2</v>
          </cell>
        </row>
      </sheetData>
      <sheetData sheetId="6">
        <row r="9">
          <cell r="K9">
            <v>1</v>
          </cell>
        </row>
        <row r="10">
          <cell r="K10">
            <v>1.25</v>
          </cell>
        </row>
        <row r="11">
          <cell r="K11">
            <v>1.5</v>
          </cell>
        </row>
        <row r="12">
          <cell r="K12">
            <v>1.75</v>
          </cell>
        </row>
        <row r="13">
          <cell r="K13">
            <v>2</v>
          </cell>
        </row>
      </sheetData>
      <sheetData sheetId="7">
        <row r="9">
          <cell r="K9">
            <v>2</v>
          </cell>
        </row>
        <row r="10">
          <cell r="K10">
            <v>2.5</v>
          </cell>
        </row>
        <row r="11">
          <cell r="K11">
            <v>3</v>
          </cell>
        </row>
        <row r="12">
          <cell r="K12">
            <v>3.5</v>
          </cell>
        </row>
        <row r="13">
          <cell r="K13">
            <v>4</v>
          </cell>
        </row>
      </sheetData>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edprices"/>
      <sheetName val="Price sheet "/>
      <sheetName val="Crops planted"/>
      <sheetName val="Inventarus "/>
      <sheetName val="Laste"/>
      <sheetName val="vaste koste"/>
      <sheetName val="W-Mielie "/>
      <sheetName val="W-BT Mielies"/>
      <sheetName val="Sonneblom"/>
      <sheetName val="Sojabone"/>
      <sheetName val="Graansorghum"/>
      <sheetName val="Grondbone"/>
      <sheetName val="Oorlê"/>
      <sheetName val="Bes-mielies"/>
      <sheetName val="Crop Comparison"/>
      <sheetName val="Rent calculations"/>
      <sheetName val="Pryse + Sensatiwiteitsanalise"/>
      <sheetName val="Strategie"/>
      <sheetName val="sheet"/>
      <sheetName val="sheet 2"/>
    </sheetNames>
    <sheetDataSet>
      <sheetData sheetId="0" refreshError="1">
        <row r="3">
          <cell r="A3" t="str">
            <v>Monsanto Average Conven</v>
          </cell>
          <cell r="B3">
            <v>3014</v>
          </cell>
        </row>
        <row r="4">
          <cell r="A4" t="str">
            <v>Monsanto Average BT</v>
          </cell>
          <cell r="B4">
            <v>4202</v>
          </cell>
        </row>
        <row r="5">
          <cell r="A5" t="str">
            <v>Monsanto Average RR</v>
          </cell>
          <cell r="B5">
            <v>3966</v>
          </cell>
        </row>
        <row r="6">
          <cell r="A6" t="str">
            <v>Monsanto Average BR</v>
          </cell>
          <cell r="B6">
            <v>4455</v>
          </cell>
        </row>
        <row r="7">
          <cell r="A7" t="str">
            <v>DKC 73-72</v>
          </cell>
          <cell r="B7">
            <v>3535</v>
          </cell>
        </row>
        <row r="8">
          <cell r="A8" t="str">
            <v>DKC 80-10</v>
          </cell>
          <cell r="B8">
            <v>2002</v>
          </cell>
        </row>
        <row r="9">
          <cell r="A9" t="str">
            <v>DKC 71-42</v>
          </cell>
          <cell r="B9">
            <v>3612</v>
          </cell>
        </row>
        <row r="10">
          <cell r="A10" t="str">
            <v>DKC 61-90*</v>
          </cell>
          <cell r="B10">
            <v>2773</v>
          </cell>
        </row>
        <row r="11">
          <cell r="A11" t="str">
            <v>DKC 74-20</v>
          </cell>
          <cell r="B11">
            <v>3296</v>
          </cell>
        </row>
        <row r="12">
          <cell r="A12" t="str">
            <v>DKC 73-70B Gen</v>
          </cell>
          <cell r="B12">
            <v>4259</v>
          </cell>
        </row>
        <row r="13">
          <cell r="A13" t="str">
            <v>DKC 61-94 BR</v>
          </cell>
          <cell r="B13">
            <v>0</v>
          </cell>
        </row>
        <row r="14">
          <cell r="A14" t="str">
            <v>DKC 62-80 BR Gen</v>
          </cell>
          <cell r="B14">
            <v>0</v>
          </cell>
        </row>
        <row r="15">
          <cell r="A15" t="str">
            <v>DKC 62-84 R</v>
          </cell>
          <cell r="B15">
            <v>3312</v>
          </cell>
        </row>
        <row r="16">
          <cell r="A16" t="str">
            <v>DKC 64-78 BR Gen</v>
          </cell>
          <cell r="B16">
            <v>0</v>
          </cell>
        </row>
        <row r="17">
          <cell r="A17" t="str">
            <v>DKC 66-36 R</v>
          </cell>
          <cell r="B17">
            <v>0</v>
          </cell>
        </row>
        <row r="18">
          <cell r="A18" t="str">
            <v>DKC 73-74BR Gen</v>
          </cell>
          <cell r="B18">
            <v>4711</v>
          </cell>
        </row>
        <row r="19">
          <cell r="A19" t="str">
            <v>DKC 73-76 R</v>
          </cell>
          <cell r="B19">
            <v>4019</v>
          </cell>
        </row>
        <row r="20">
          <cell r="A20" t="str">
            <v>DKC 80-12B Gen</v>
          </cell>
          <cell r="B20">
            <v>3018</v>
          </cell>
        </row>
        <row r="21">
          <cell r="A21" t="str">
            <v>DKC 80-30 R</v>
          </cell>
          <cell r="B21">
            <v>3921</v>
          </cell>
        </row>
        <row r="22">
          <cell r="A22" t="str">
            <v>DKC 80-40BR Gen</v>
          </cell>
          <cell r="B22">
            <v>4672</v>
          </cell>
        </row>
        <row r="23">
          <cell r="A23" t="str">
            <v>DKC 68-50</v>
          </cell>
          <cell r="B23">
            <v>3589</v>
          </cell>
        </row>
        <row r="24">
          <cell r="A24" t="str">
            <v>DKC 68-56R</v>
          </cell>
          <cell r="B24">
            <v>4112</v>
          </cell>
        </row>
        <row r="25">
          <cell r="A25" t="str">
            <v>DKC 74-24B</v>
          </cell>
          <cell r="B25">
            <v>3038</v>
          </cell>
        </row>
        <row r="26">
          <cell r="A26" t="str">
            <v>DKC 74-26R</v>
          </cell>
          <cell r="B26">
            <v>4095</v>
          </cell>
        </row>
        <row r="27">
          <cell r="A27" t="str">
            <v>DKC 71-44B</v>
          </cell>
          <cell r="B27">
            <v>4486</v>
          </cell>
        </row>
        <row r="28">
          <cell r="A28" t="str">
            <v>DKC 68-54B</v>
          </cell>
          <cell r="B28">
            <v>4529</v>
          </cell>
        </row>
        <row r="29">
          <cell r="A29" t="str">
            <v>DKC 68-58BR</v>
          </cell>
          <cell r="B29">
            <v>4862</v>
          </cell>
        </row>
        <row r="30">
          <cell r="A30" t="str">
            <v>DKC 74-74BR</v>
          </cell>
          <cell r="B30">
            <v>4863</v>
          </cell>
        </row>
        <row r="31">
          <cell r="A31" t="str">
            <v>DKC 62-80BR Gen*</v>
          </cell>
          <cell r="B31">
            <v>3896</v>
          </cell>
        </row>
        <row r="32">
          <cell r="A32" t="str">
            <v>DKC 64-54BR*</v>
          </cell>
          <cell r="B32">
            <v>3999</v>
          </cell>
        </row>
        <row r="33">
          <cell r="A33" t="str">
            <v>DKC 64-78BR Gen*</v>
          </cell>
          <cell r="B33">
            <v>2796</v>
          </cell>
        </row>
        <row r="34">
          <cell r="A34" t="str">
            <v>DKC 65-52BR*</v>
          </cell>
          <cell r="B34">
            <v>4010</v>
          </cell>
        </row>
        <row r="35">
          <cell r="A35" t="str">
            <v xml:space="preserve">DKC 65-60 BR* </v>
          </cell>
          <cell r="B35">
            <v>3895</v>
          </cell>
        </row>
        <row r="36">
          <cell r="A36" t="str">
            <v>CRN 3505</v>
          </cell>
          <cell r="B36">
            <v>3333</v>
          </cell>
        </row>
        <row r="37">
          <cell r="A37" t="str">
            <v>DKC 78-27</v>
          </cell>
          <cell r="B37">
            <v>3746</v>
          </cell>
        </row>
        <row r="38">
          <cell r="A38" t="str">
            <v>DKC 63-53*</v>
          </cell>
          <cell r="B38">
            <v>1621</v>
          </cell>
        </row>
        <row r="39">
          <cell r="A39" t="str">
            <v>DKC 77-77 BR</v>
          </cell>
          <cell r="B39">
            <v>5069</v>
          </cell>
        </row>
        <row r="40">
          <cell r="A40" t="str">
            <v>DKC 77-85B Gen</v>
          </cell>
          <cell r="B40">
            <v>4609</v>
          </cell>
        </row>
        <row r="41">
          <cell r="A41" t="str">
            <v>DKC 78-17 B</v>
          </cell>
          <cell r="B41">
            <v>4532</v>
          </cell>
        </row>
        <row r="42">
          <cell r="A42" t="str">
            <v>DKC 78-35 R</v>
          </cell>
          <cell r="B42">
            <v>4052</v>
          </cell>
        </row>
        <row r="43">
          <cell r="A43" t="str">
            <v>DKC 78-45BR Gen</v>
          </cell>
          <cell r="B43">
            <v>4858</v>
          </cell>
        </row>
        <row r="44">
          <cell r="A44" t="str">
            <v>DKC 78-79 BR</v>
          </cell>
          <cell r="B44">
            <v>4845</v>
          </cell>
        </row>
        <row r="45">
          <cell r="A45" t="str">
            <v>DKC 78-83 R</v>
          </cell>
          <cell r="B45">
            <v>4253</v>
          </cell>
        </row>
        <row r="46">
          <cell r="A46" t="str">
            <v>DKC 78-87 B</v>
          </cell>
          <cell r="B46">
            <v>4624</v>
          </cell>
        </row>
        <row r="47">
          <cell r="A47" t="str">
            <v>DKC 76-61B</v>
          </cell>
          <cell r="B47">
            <v>4221</v>
          </cell>
        </row>
        <row r="48">
          <cell r="A48" t="str">
            <v>DKC 75-65 BR</v>
          </cell>
          <cell r="B48">
            <v>5265</v>
          </cell>
        </row>
        <row r="49">
          <cell r="A49" t="str">
            <v>DKC 76-67 BR</v>
          </cell>
          <cell r="B49">
            <v>4635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yse + Sensatiwiteitsanali"/>
      <sheetName val="W-RR mielies Laer opbrengs "/>
      <sheetName val="W-RR mielies Hoer opbrengs  "/>
      <sheetName val="W-BT Mielies "/>
      <sheetName val="Stapelgeen Mielie"/>
      <sheetName val="Verminbe Stapelgeen mielie -5jr"/>
      <sheetName val="Sonneblom"/>
      <sheetName val="Grondbone"/>
      <sheetName val="Sojabone"/>
      <sheetName val="Graansorghum"/>
      <sheetName val="Bes-mielie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edprices"/>
      <sheetName val="Price sheet "/>
      <sheetName val="Crops planted"/>
      <sheetName val="Inventarus "/>
      <sheetName val="Laste"/>
      <sheetName val="vaste koste"/>
      <sheetName val="W-Mielie "/>
      <sheetName val="W-BT Mielies"/>
      <sheetName val="Sonneblom"/>
      <sheetName val="Sojabone"/>
      <sheetName val="Bes-mielies"/>
      <sheetName val="Crop Comparison"/>
      <sheetName val="Rent calcul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B2" t="str">
            <v>Maize (conven)</v>
          </cell>
          <cell r="C2" t="str">
            <v>Maize (Bt)</v>
          </cell>
          <cell r="D2" t="str">
            <v>Sunflower</v>
          </cell>
          <cell r="E2" t="str">
            <v>Soy bean</v>
          </cell>
          <cell r="F2" t="str">
            <v>Irr-Maize</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79F2DB-001B-4831-9795-D5C5D8E8F592}" name="Table1" displayName="Table1" ref="A1:E35" totalsRowShown="0" headerRowDxfId="25" dataDxfId="24" tableBorderDxfId="31">
  <autoFilter ref="A1:E35" xr:uid="{1D79F2DB-001B-4831-9795-D5C5D8E8F592}">
    <filterColumn colId="0" hiddenButton="1"/>
    <filterColumn colId="1" hiddenButton="1"/>
    <filterColumn colId="2" hiddenButton="1"/>
    <filterColumn colId="3" hiddenButton="1"/>
    <filterColumn colId="4" hiddenButton="1"/>
  </autoFilter>
  <tableColumns count="5">
    <tableColumn id="1" xr3:uid="{68ECCDC7-57BB-4CD1-BF5E-2A2D87E2F53F}" name="EASTERN FREE STATE INCOME &amp; COST BUDGETS - SUMMER CROPS 2026/27" dataDxfId="30"/>
    <tableColumn id="2" xr3:uid="{F3201B07-BFC8-492F-89E9-746BD2D09FCF}" name="Column1" dataDxfId="29"/>
    <tableColumn id="3" xr3:uid="{969E333F-EEEF-42AB-A5CA-DEF088D3CFDA}" name="Column2" dataDxfId="28"/>
    <tableColumn id="4" xr3:uid="{88DCEEED-8799-4DC7-AB46-ADE4167EB6CF}" name="Column3" dataDxfId="27"/>
    <tableColumn id="5" xr3:uid="{323E7223-7EF9-494A-BAB6-E411BA197178}" name="Column4" dataDxfId="26"/>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7"/>
  <sheetViews>
    <sheetView tabSelected="1" zoomScale="85" zoomScaleNormal="85" workbookViewId="0">
      <selection activeCell="J4" sqref="J4"/>
    </sheetView>
  </sheetViews>
  <sheetFormatPr defaultColWidth="9.109375" defaultRowHeight="13.2" x14ac:dyDescent="0.25"/>
  <cols>
    <col min="1" max="1" width="39.109375" style="35" bestFit="1" customWidth="1"/>
    <col min="2" max="2" width="19.109375" style="84" bestFit="1" customWidth="1"/>
    <col min="3" max="3" width="3.33203125" style="84" customWidth="1"/>
    <col min="4" max="4" width="48" style="101" bestFit="1" customWidth="1"/>
    <col min="5" max="12" width="10.6640625" style="1" customWidth="1"/>
    <col min="13" max="15" width="9.109375" style="1"/>
    <col min="16" max="16" width="22.6640625" style="1" customWidth="1"/>
    <col min="17" max="17" width="11.6640625" style="1" customWidth="1"/>
    <col min="18" max="26" width="9.44140625" style="1" customWidth="1"/>
    <col min="27" max="16384" width="9.109375" style="1"/>
  </cols>
  <sheetData>
    <row r="1" spans="1:26" s="38" customFormat="1" ht="28.5" customHeight="1" x14ac:dyDescent="0.4">
      <c r="A1" s="41" t="s">
        <v>0</v>
      </c>
      <c r="B1" s="83" t="s">
        <v>1</v>
      </c>
      <c r="C1" s="84"/>
      <c r="D1" s="100"/>
      <c r="E1" s="35"/>
      <c r="F1" s="36"/>
      <c r="G1" s="37"/>
      <c r="H1" s="35"/>
      <c r="I1" s="35"/>
      <c r="J1" s="35"/>
      <c r="K1" s="35"/>
      <c r="L1" s="35"/>
      <c r="M1" s="35"/>
      <c r="N1" s="35"/>
    </row>
    <row r="2" spans="1:26" s="38" customFormat="1" ht="13.5" customHeight="1" x14ac:dyDescent="0.3">
      <c r="A2" s="42" t="s">
        <v>2</v>
      </c>
      <c r="B2" s="85">
        <v>46238</v>
      </c>
      <c r="C2" s="84"/>
      <c r="D2" s="100"/>
      <c r="E2" s="35"/>
      <c r="F2" s="36"/>
      <c r="G2" s="37"/>
      <c r="H2" s="35"/>
      <c r="I2" s="35"/>
      <c r="J2" s="35"/>
      <c r="K2" s="35"/>
      <c r="L2" s="35"/>
      <c r="M2" s="35"/>
      <c r="N2" s="35"/>
    </row>
    <row r="3" spans="1:26" s="38" customFormat="1" ht="24.75" customHeight="1" x14ac:dyDescent="0.3">
      <c r="A3" s="45" t="s">
        <v>3</v>
      </c>
      <c r="B3" s="86" t="s">
        <v>4</v>
      </c>
      <c r="C3" s="84"/>
      <c r="D3" s="46" t="s">
        <v>5</v>
      </c>
      <c r="E3" s="35"/>
      <c r="F3" s="39"/>
      <c r="G3" s="37"/>
      <c r="H3" s="35"/>
      <c r="I3" s="35"/>
      <c r="J3" s="35"/>
      <c r="K3" s="35"/>
      <c r="L3" s="35"/>
    </row>
    <row r="4" spans="1:26" s="38" customFormat="1" ht="13.5" customHeight="1" x14ac:dyDescent="0.3">
      <c r="A4" s="56" t="s">
        <v>6</v>
      </c>
      <c r="B4" s="87">
        <v>3800</v>
      </c>
      <c r="C4" s="88"/>
      <c r="D4" s="89">
        <v>406.25</v>
      </c>
      <c r="E4" s="35"/>
      <c r="F4" s="36"/>
      <c r="G4" s="37"/>
      <c r="H4" s="35"/>
      <c r="I4" s="35"/>
      <c r="J4" s="35"/>
      <c r="K4" s="35"/>
      <c r="L4" s="35"/>
    </row>
    <row r="5" spans="1:26" s="38" customFormat="1" ht="13.5" customHeight="1" x14ac:dyDescent="0.3">
      <c r="A5" s="56" t="s">
        <v>7</v>
      </c>
      <c r="B5" s="87">
        <v>10000</v>
      </c>
      <c r="C5" s="88"/>
      <c r="D5" s="89">
        <v>477.52</v>
      </c>
      <c r="E5" s="35"/>
      <c r="F5" s="35"/>
      <c r="G5" s="35"/>
      <c r="H5" s="35"/>
      <c r="I5" s="35"/>
      <c r="J5" s="35"/>
      <c r="K5" s="35"/>
      <c r="L5" s="35"/>
      <c r="M5" s="35"/>
      <c r="N5" s="35"/>
    </row>
    <row r="6" spans="1:26" s="38" customFormat="1" ht="13.5" customHeight="1" x14ac:dyDescent="0.3">
      <c r="A6" s="56" t="s">
        <v>8</v>
      </c>
      <c r="B6" s="87">
        <v>7900</v>
      </c>
      <c r="C6" s="88"/>
      <c r="D6" s="89">
        <v>106.17</v>
      </c>
      <c r="E6" s="35"/>
      <c r="F6" s="35"/>
      <c r="G6" s="35"/>
      <c r="H6" s="35"/>
      <c r="I6" s="35"/>
      <c r="J6" s="35"/>
      <c r="K6" s="35"/>
      <c r="L6" s="35"/>
      <c r="M6" s="35"/>
      <c r="N6" s="35"/>
    </row>
    <row r="7" spans="1:26" s="38" customFormat="1" ht="13.5" customHeight="1" x14ac:dyDescent="0.3">
      <c r="A7" s="40"/>
      <c r="B7" s="90"/>
      <c r="C7" s="84"/>
      <c r="D7" s="100"/>
      <c r="E7" s="35"/>
      <c r="F7" s="35"/>
      <c r="G7" s="35"/>
      <c r="H7" s="35"/>
      <c r="I7" s="35"/>
      <c r="J7" s="35"/>
      <c r="K7" s="35"/>
      <c r="L7" s="35"/>
      <c r="M7" s="35"/>
      <c r="N7" s="35"/>
    </row>
    <row r="8" spans="1:26" s="38" customFormat="1" ht="13.5" customHeight="1" x14ac:dyDescent="0.4">
      <c r="A8" s="41"/>
      <c r="B8" s="84"/>
      <c r="C8" s="84"/>
      <c r="D8" s="100"/>
      <c r="E8" s="35"/>
      <c r="F8" s="35"/>
      <c r="G8" s="35"/>
      <c r="H8" s="35"/>
      <c r="I8" s="35"/>
      <c r="J8" s="35"/>
      <c r="K8" s="35"/>
      <c r="L8" s="35"/>
      <c r="M8" s="35"/>
      <c r="N8" s="35"/>
    </row>
    <row r="9" spans="1:26" s="38" customFormat="1" ht="13.5" customHeight="1" thickBot="1" x14ac:dyDescent="0.35">
      <c r="A9" s="69"/>
      <c r="B9" s="69"/>
      <c r="C9" s="84"/>
      <c r="D9" s="100"/>
      <c r="E9" s="35"/>
      <c r="F9" s="35"/>
      <c r="G9" s="35"/>
      <c r="H9" s="35"/>
      <c r="I9" s="35"/>
      <c r="J9" s="35"/>
      <c r="K9" s="35"/>
      <c r="L9" s="35"/>
      <c r="M9" s="35"/>
      <c r="N9" s="35"/>
    </row>
    <row r="10" spans="1:26" ht="20.25" customHeight="1" thickBot="1" x14ac:dyDescent="0.3">
      <c r="A10" s="51" t="s">
        <v>9</v>
      </c>
      <c r="B10" s="91"/>
      <c r="C10" s="92"/>
      <c r="D10" s="67" t="s">
        <v>10</v>
      </c>
      <c r="E10" s="75"/>
      <c r="F10" s="75"/>
      <c r="G10" s="75"/>
      <c r="H10" s="75"/>
      <c r="I10" s="75"/>
      <c r="J10" s="75"/>
      <c r="K10" s="75"/>
      <c r="L10" s="75"/>
      <c r="M10" s="75"/>
      <c r="N10" s="68"/>
      <c r="P10" s="67" t="s">
        <v>11</v>
      </c>
      <c r="Q10" s="75"/>
      <c r="R10" s="75"/>
      <c r="S10" s="75"/>
      <c r="T10" s="75"/>
      <c r="U10" s="75"/>
      <c r="V10" s="75"/>
      <c r="W10" s="75"/>
      <c r="X10" s="75"/>
      <c r="Y10" s="75"/>
      <c r="Z10" s="68"/>
    </row>
    <row r="11" spans="1:26" ht="13.5" customHeight="1" thickBot="1" x14ac:dyDescent="0.3">
      <c r="A11" s="47" t="s">
        <v>12</v>
      </c>
      <c r="B11" s="44">
        <f>'Crop Comparison'!C28</f>
        <v>21322.045418793794</v>
      </c>
      <c r="C11" s="43"/>
      <c r="D11" s="2"/>
      <c r="E11" s="3"/>
      <c r="F11" s="4"/>
      <c r="G11" s="5"/>
      <c r="H11" s="4"/>
      <c r="I11" s="4"/>
      <c r="J11" s="4" t="s">
        <v>13</v>
      </c>
      <c r="K11" s="6"/>
      <c r="L11" s="4"/>
      <c r="M11" s="6"/>
      <c r="N11" s="4"/>
      <c r="P11" s="2"/>
      <c r="Q11" s="3"/>
      <c r="R11" s="4"/>
      <c r="S11" s="5"/>
      <c r="T11" s="4"/>
      <c r="U11" s="4"/>
      <c r="V11" s="4" t="s">
        <v>13</v>
      </c>
      <c r="W11" s="6"/>
      <c r="X11" s="4"/>
      <c r="Y11" s="6"/>
      <c r="Z11" s="4"/>
    </row>
    <row r="12" spans="1:26" ht="13.5" customHeight="1" thickBot="1" x14ac:dyDescent="0.3">
      <c r="A12" s="47" t="s">
        <v>14</v>
      </c>
      <c r="B12" s="44">
        <f>'Crop Comparison'!C30</f>
        <v>6856.4322200999995</v>
      </c>
      <c r="C12" s="43"/>
      <c r="D12" s="67" t="s">
        <v>15</v>
      </c>
      <c r="E12" s="68"/>
      <c r="F12" s="7">
        <f>G12-250</f>
        <v>2800</v>
      </c>
      <c r="G12" s="7">
        <f>H12-250</f>
        <v>3050</v>
      </c>
      <c r="H12" s="7">
        <f>I12-250</f>
        <v>3300</v>
      </c>
      <c r="I12" s="7">
        <f>J12-250</f>
        <v>3550</v>
      </c>
      <c r="J12" s="8">
        <f>B17</f>
        <v>3800</v>
      </c>
      <c r="K12" s="7">
        <f>J12+250</f>
        <v>4050</v>
      </c>
      <c r="L12" s="7">
        <f>K12+250</f>
        <v>4300</v>
      </c>
      <c r="M12" s="7">
        <f>L12+250</f>
        <v>4550</v>
      </c>
      <c r="N12" s="7">
        <f>M12+250</f>
        <v>4800</v>
      </c>
      <c r="P12" s="67" t="s">
        <v>15</v>
      </c>
      <c r="Q12" s="68"/>
      <c r="R12" s="7">
        <f>S12-250</f>
        <v>2800</v>
      </c>
      <c r="S12" s="7">
        <f>T12-250</f>
        <v>3050</v>
      </c>
      <c r="T12" s="7">
        <f>U12-250</f>
        <v>3300</v>
      </c>
      <c r="U12" s="7">
        <f>V12-250</f>
        <v>3550</v>
      </c>
      <c r="V12" s="4">
        <f>J12</f>
        <v>3800</v>
      </c>
      <c r="W12" s="7">
        <f>V12+250</f>
        <v>4050</v>
      </c>
      <c r="X12" s="7">
        <f>W12+250</f>
        <v>4300</v>
      </c>
      <c r="Y12" s="7">
        <f>X12+250</f>
        <v>4550</v>
      </c>
      <c r="Z12" s="7">
        <f>Y12+250</f>
        <v>4800</v>
      </c>
    </row>
    <row r="13" spans="1:26" ht="13.5" customHeight="1" thickBot="1" x14ac:dyDescent="0.3">
      <c r="A13" s="48" t="s">
        <v>16</v>
      </c>
      <c r="B13" s="52">
        <f>B12+B11</f>
        <v>28178.477638893793</v>
      </c>
      <c r="C13" s="93"/>
      <c r="D13" s="73" t="s">
        <v>17</v>
      </c>
      <c r="E13" s="74"/>
      <c r="F13" s="9">
        <f t="shared" ref="F13:N13" si="0">F12-$B$18</f>
        <v>2393.75</v>
      </c>
      <c r="G13" s="9">
        <f t="shared" si="0"/>
        <v>2643.75</v>
      </c>
      <c r="H13" s="9">
        <f t="shared" si="0"/>
        <v>2893.75</v>
      </c>
      <c r="I13" s="9">
        <f t="shared" si="0"/>
        <v>3143.75</v>
      </c>
      <c r="J13" s="10">
        <f t="shared" si="0"/>
        <v>3393.75</v>
      </c>
      <c r="K13" s="9">
        <f t="shared" si="0"/>
        <v>3643.75</v>
      </c>
      <c r="L13" s="9">
        <f t="shared" si="0"/>
        <v>3893.75</v>
      </c>
      <c r="M13" s="9">
        <f t="shared" si="0"/>
        <v>4143.75</v>
      </c>
      <c r="N13" s="9">
        <f t="shared" si="0"/>
        <v>4393.75</v>
      </c>
      <c r="P13" s="73" t="s">
        <v>17</v>
      </c>
      <c r="Q13" s="74"/>
      <c r="R13" s="9">
        <f t="shared" ref="R13:Z13" si="1">R12-$B$18</f>
        <v>2393.75</v>
      </c>
      <c r="S13" s="9">
        <f t="shared" si="1"/>
        <v>2643.75</v>
      </c>
      <c r="T13" s="9">
        <f t="shared" si="1"/>
        <v>2893.75</v>
      </c>
      <c r="U13" s="9">
        <f t="shared" si="1"/>
        <v>3143.75</v>
      </c>
      <c r="V13" s="11">
        <f t="shared" si="1"/>
        <v>3393.75</v>
      </c>
      <c r="W13" s="9">
        <f t="shared" si="1"/>
        <v>3643.75</v>
      </c>
      <c r="X13" s="9">
        <f t="shared" si="1"/>
        <v>3893.75</v>
      </c>
      <c r="Y13" s="9">
        <f t="shared" si="1"/>
        <v>4143.75</v>
      </c>
      <c r="Z13" s="9">
        <f t="shared" si="1"/>
        <v>4393.75</v>
      </c>
    </row>
    <row r="14" spans="1:26" ht="13.5" customHeight="1" thickBot="1" x14ac:dyDescent="0.3">
      <c r="A14" s="47"/>
      <c r="B14" s="43"/>
      <c r="C14" s="43"/>
      <c r="D14" s="70" t="s">
        <v>18</v>
      </c>
      <c r="E14" s="12">
        <f>E15-0.5</f>
        <v>5</v>
      </c>
      <c r="F14" s="13">
        <f t="shared" ref="F14:N18" si="2">F$13-($B$13/$E14)</f>
        <v>-3241.9455277787583</v>
      </c>
      <c r="G14" s="14">
        <f t="shared" si="2"/>
        <v>-2991.9455277787583</v>
      </c>
      <c r="H14" s="14">
        <f t="shared" si="2"/>
        <v>-2741.9455277787583</v>
      </c>
      <c r="I14" s="14">
        <f t="shared" si="2"/>
        <v>-2491.9455277787583</v>
      </c>
      <c r="J14" s="14">
        <f t="shared" si="2"/>
        <v>-2241.9455277787583</v>
      </c>
      <c r="K14" s="14">
        <f t="shared" si="2"/>
        <v>-1991.9455277787583</v>
      </c>
      <c r="L14" s="14">
        <f t="shared" si="2"/>
        <v>-1741.9455277787583</v>
      </c>
      <c r="M14" s="15">
        <f t="shared" si="2"/>
        <v>-1491.9455277787583</v>
      </c>
      <c r="N14" s="16">
        <f t="shared" si="2"/>
        <v>-1241.9455277787583</v>
      </c>
      <c r="P14" s="70" t="s">
        <v>18</v>
      </c>
      <c r="Q14" s="12">
        <f>Q15-0.5</f>
        <v>5</v>
      </c>
      <c r="R14" s="13">
        <f>R$13-($B$11/$E14)</f>
        <v>-1870.6590837587592</v>
      </c>
      <c r="S14" s="13">
        <f t="shared" ref="S14:Z18" si="3">S$13-($B$11/$E14)</f>
        <v>-1620.6590837587592</v>
      </c>
      <c r="T14" s="13">
        <f t="shared" si="3"/>
        <v>-1370.6590837587592</v>
      </c>
      <c r="U14" s="13">
        <f t="shared" si="3"/>
        <v>-1120.6590837587592</v>
      </c>
      <c r="V14" s="13">
        <f t="shared" si="3"/>
        <v>-870.65908375875915</v>
      </c>
      <c r="W14" s="13">
        <f t="shared" si="3"/>
        <v>-620.65908375875915</v>
      </c>
      <c r="X14" s="13">
        <f t="shared" si="3"/>
        <v>-370.65908375875915</v>
      </c>
      <c r="Y14" s="13">
        <f t="shared" si="3"/>
        <v>-120.65908375875915</v>
      </c>
      <c r="Z14" s="13">
        <f t="shared" si="3"/>
        <v>129.34091624124085</v>
      </c>
    </row>
    <row r="15" spans="1:26" ht="13.5" customHeight="1" thickBot="1" x14ac:dyDescent="0.3">
      <c r="A15" s="47" t="s">
        <v>19</v>
      </c>
      <c r="B15" s="94">
        <v>6</v>
      </c>
      <c r="C15" s="43"/>
      <c r="D15" s="71"/>
      <c r="E15" s="12">
        <f>E16-0.5</f>
        <v>5.5</v>
      </c>
      <c r="F15" s="17">
        <f t="shared" si="2"/>
        <v>-2729.6095707079621</v>
      </c>
      <c r="G15" s="18">
        <f t="shared" si="2"/>
        <v>-2479.6095707079621</v>
      </c>
      <c r="H15" s="18">
        <f t="shared" si="2"/>
        <v>-2229.6095707079621</v>
      </c>
      <c r="I15" s="18">
        <f t="shared" si="2"/>
        <v>-1979.6095707079621</v>
      </c>
      <c r="J15" s="18">
        <f t="shared" si="2"/>
        <v>-1729.6095707079621</v>
      </c>
      <c r="K15" s="19">
        <f t="shared" si="2"/>
        <v>-1479.6095707079621</v>
      </c>
      <c r="L15" s="19">
        <f t="shared" si="2"/>
        <v>-1229.6095707079621</v>
      </c>
      <c r="M15" s="19">
        <f t="shared" si="2"/>
        <v>-979.60957070796212</v>
      </c>
      <c r="N15" s="20">
        <f t="shared" si="2"/>
        <v>-729.60957070796212</v>
      </c>
      <c r="P15" s="71"/>
      <c r="Q15" s="12">
        <f>Q16-0.5</f>
        <v>5.5</v>
      </c>
      <c r="R15" s="13">
        <f>R$13-($B$11/$E15)</f>
        <v>-1482.9855306897807</v>
      </c>
      <c r="S15" s="13">
        <f t="shared" si="3"/>
        <v>-1232.9855306897807</v>
      </c>
      <c r="T15" s="13">
        <f t="shared" si="3"/>
        <v>-982.98553068978072</v>
      </c>
      <c r="U15" s="13">
        <f t="shared" si="3"/>
        <v>-732.98553068978072</v>
      </c>
      <c r="V15" s="13">
        <f t="shared" si="3"/>
        <v>-482.98553068978072</v>
      </c>
      <c r="W15" s="13">
        <f t="shared" si="3"/>
        <v>-232.98553068978072</v>
      </c>
      <c r="X15" s="13">
        <f t="shared" si="3"/>
        <v>17.014469310219283</v>
      </c>
      <c r="Y15" s="13">
        <f t="shared" si="3"/>
        <v>267.01446931021928</v>
      </c>
      <c r="Z15" s="13">
        <f t="shared" si="3"/>
        <v>517.01446931021928</v>
      </c>
    </row>
    <row r="16" spans="1:26" ht="13.5" customHeight="1" thickBot="1" x14ac:dyDescent="0.3">
      <c r="A16" s="47"/>
      <c r="B16" s="43"/>
      <c r="C16" s="43"/>
      <c r="D16" s="71"/>
      <c r="E16" s="21">
        <f>B15</f>
        <v>6</v>
      </c>
      <c r="F16" s="17">
        <f t="shared" si="2"/>
        <v>-2302.6629398156319</v>
      </c>
      <c r="G16" s="18">
        <f t="shared" si="2"/>
        <v>-2052.6629398156319</v>
      </c>
      <c r="H16" s="18">
        <f t="shared" si="2"/>
        <v>-1802.6629398156319</v>
      </c>
      <c r="I16" s="18">
        <f t="shared" si="2"/>
        <v>-1552.6629398156319</v>
      </c>
      <c r="J16" s="55">
        <f t="shared" si="2"/>
        <v>-1302.6629398156319</v>
      </c>
      <c r="K16" s="19">
        <f t="shared" si="2"/>
        <v>-1052.6629398156319</v>
      </c>
      <c r="L16" s="19">
        <f t="shared" si="2"/>
        <v>-802.66293981563194</v>
      </c>
      <c r="M16" s="19">
        <f t="shared" si="2"/>
        <v>-552.66293981563194</v>
      </c>
      <c r="N16" s="20">
        <f t="shared" si="2"/>
        <v>-302.66293981563194</v>
      </c>
      <c r="P16" s="71"/>
      <c r="Q16" s="21">
        <f>E16</f>
        <v>6</v>
      </c>
      <c r="R16" s="13">
        <f>R$13-($B$11/$E16)</f>
        <v>-1159.9242364656325</v>
      </c>
      <c r="S16" s="13">
        <f t="shared" si="3"/>
        <v>-909.92423646563248</v>
      </c>
      <c r="T16" s="13">
        <f t="shared" si="3"/>
        <v>-659.92423646563248</v>
      </c>
      <c r="U16" s="13">
        <f t="shared" si="3"/>
        <v>-409.92423646563248</v>
      </c>
      <c r="V16" s="13">
        <f t="shared" si="3"/>
        <v>-159.92423646563248</v>
      </c>
      <c r="W16" s="13">
        <f t="shared" si="3"/>
        <v>90.075763534367525</v>
      </c>
      <c r="X16" s="13">
        <f t="shared" si="3"/>
        <v>340.07576353436752</v>
      </c>
      <c r="Y16" s="13">
        <f t="shared" si="3"/>
        <v>590.07576353436752</v>
      </c>
      <c r="Z16" s="13">
        <f t="shared" si="3"/>
        <v>840.07576353436752</v>
      </c>
    </row>
    <row r="17" spans="1:26" ht="13.5" customHeight="1" thickBot="1" x14ac:dyDescent="0.3">
      <c r="A17" s="47" t="s">
        <v>20</v>
      </c>
      <c r="B17" s="44">
        <f>$B$4</f>
        <v>3800</v>
      </c>
      <c r="C17" s="43"/>
      <c r="D17" s="71"/>
      <c r="E17" s="12">
        <f>E16+0.5</f>
        <v>6.5</v>
      </c>
      <c r="F17" s="17">
        <f t="shared" si="2"/>
        <v>-1941.4004059836607</v>
      </c>
      <c r="G17" s="18">
        <f t="shared" si="2"/>
        <v>-1691.4004059836607</v>
      </c>
      <c r="H17" s="18">
        <f t="shared" si="2"/>
        <v>-1441.4004059836607</v>
      </c>
      <c r="I17" s="19">
        <f t="shared" si="2"/>
        <v>-1191.4004059836607</v>
      </c>
      <c r="J17" s="19">
        <f t="shared" si="2"/>
        <v>-941.40040598366068</v>
      </c>
      <c r="K17" s="19">
        <f t="shared" si="2"/>
        <v>-691.40040598366068</v>
      </c>
      <c r="L17" s="19">
        <f t="shared" si="2"/>
        <v>-441.40040598366068</v>
      </c>
      <c r="M17" s="19">
        <f t="shared" si="2"/>
        <v>-191.40040598366068</v>
      </c>
      <c r="N17" s="20">
        <f t="shared" si="2"/>
        <v>58.599594016339324</v>
      </c>
      <c r="P17" s="71"/>
      <c r="Q17" s="12">
        <f>Q16+0.5</f>
        <v>6.5</v>
      </c>
      <c r="R17" s="13">
        <f>R$13-($B$11/$E17)</f>
        <v>-886.56467981442984</v>
      </c>
      <c r="S17" s="13">
        <f t="shared" si="3"/>
        <v>-636.56467981442984</v>
      </c>
      <c r="T17" s="13">
        <f t="shared" si="3"/>
        <v>-386.56467981442984</v>
      </c>
      <c r="U17" s="13">
        <f t="shared" si="3"/>
        <v>-136.56467981442984</v>
      </c>
      <c r="V17" s="13">
        <f t="shared" si="3"/>
        <v>113.43532018557016</v>
      </c>
      <c r="W17" s="13">
        <f t="shared" si="3"/>
        <v>363.43532018557016</v>
      </c>
      <c r="X17" s="13">
        <f t="shared" si="3"/>
        <v>613.43532018557016</v>
      </c>
      <c r="Y17" s="13">
        <f t="shared" si="3"/>
        <v>863.43532018557016</v>
      </c>
      <c r="Z17" s="13">
        <f t="shared" si="3"/>
        <v>1113.4353201855702</v>
      </c>
    </row>
    <row r="18" spans="1:26" ht="13.5" customHeight="1" thickBot="1" x14ac:dyDescent="0.3">
      <c r="A18" s="49" t="s">
        <v>21</v>
      </c>
      <c r="B18" s="44">
        <f>D4</f>
        <v>406.25</v>
      </c>
      <c r="C18" s="43"/>
      <c r="D18" s="72"/>
      <c r="E18" s="12">
        <f>E17+0.5</f>
        <v>7</v>
      </c>
      <c r="F18" s="22">
        <f>F$13-($B$13/$E18)</f>
        <v>-1631.7468055562563</v>
      </c>
      <c r="G18" s="23">
        <f>G$13-($B$13/$E18)</f>
        <v>-1381.7468055562563</v>
      </c>
      <c r="H18" s="24">
        <f t="shared" si="2"/>
        <v>-1131.7468055562563</v>
      </c>
      <c r="I18" s="24">
        <f t="shared" si="2"/>
        <v>-881.74680555625628</v>
      </c>
      <c r="J18" s="24">
        <f t="shared" si="2"/>
        <v>-631.74680555625628</v>
      </c>
      <c r="K18" s="24">
        <f t="shared" si="2"/>
        <v>-381.74680555625628</v>
      </c>
      <c r="L18" s="24">
        <f>L$13-($B$13/$E18)</f>
        <v>-131.74680555625628</v>
      </c>
      <c r="M18" s="24">
        <f t="shared" si="2"/>
        <v>118.25319444374372</v>
      </c>
      <c r="N18" s="25">
        <f>N$13-($B$13/$E18)</f>
        <v>368.25319444374372</v>
      </c>
      <c r="P18" s="72"/>
      <c r="Q18" s="12">
        <f>Q17+0.5</f>
        <v>7</v>
      </c>
      <c r="R18" s="13">
        <f>R$13-($B$11/$E18)</f>
        <v>-652.25648839911355</v>
      </c>
      <c r="S18" s="13">
        <f>S$13-($B$11/$E18)</f>
        <v>-402.25648839911355</v>
      </c>
      <c r="T18" s="13">
        <f t="shared" si="3"/>
        <v>-152.25648839911355</v>
      </c>
      <c r="U18" s="13">
        <f t="shared" si="3"/>
        <v>97.74351160088645</v>
      </c>
      <c r="V18" s="13">
        <f t="shared" si="3"/>
        <v>347.74351160088645</v>
      </c>
      <c r="W18" s="13">
        <f t="shared" si="3"/>
        <v>597.74351160088645</v>
      </c>
      <c r="X18" s="13">
        <f t="shared" si="3"/>
        <v>847.74351160088645</v>
      </c>
      <c r="Y18" s="13">
        <f t="shared" si="3"/>
        <v>1097.7435116008864</v>
      </c>
      <c r="Z18" s="13">
        <f t="shared" si="3"/>
        <v>1347.7435116008864</v>
      </c>
    </row>
    <row r="19" spans="1:26" ht="13.5" customHeight="1" x14ac:dyDescent="0.25">
      <c r="A19" s="50" t="s">
        <v>22</v>
      </c>
      <c r="B19" s="52">
        <f>B17-B18</f>
        <v>3393.75</v>
      </c>
      <c r="C19" s="43"/>
      <c r="D19" s="26"/>
      <c r="E19" s="27"/>
      <c r="F19" s="28"/>
      <c r="G19" s="28"/>
      <c r="H19" s="28"/>
      <c r="I19" s="28"/>
      <c r="J19" s="28"/>
      <c r="K19" s="28"/>
      <c r="L19" s="28"/>
      <c r="P19" s="26"/>
      <c r="Q19" s="27"/>
      <c r="R19" s="28"/>
      <c r="S19" s="28"/>
      <c r="T19" s="28"/>
      <c r="U19" s="28"/>
      <c r="V19" s="28"/>
      <c r="W19" s="28"/>
      <c r="X19" s="28"/>
    </row>
    <row r="20" spans="1:26" ht="13.5" customHeight="1" x14ac:dyDescent="0.25">
      <c r="A20" s="50"/>
      <c r="B20" s="93"/>
      <c r="C20" s="43"/>
      <c r="D20" s="26"/>
      <c r="E20" s="27"/>
      <c r="F20" s="28"/>
      <c r="G20" s="28"/>
      <c r="H20" s="28"/>
      <c r="I20" s="28"/>
      <c r="J20" s="28"/>
      <c r="K20" s="28"/>
      <c r="L20" s="28"/>
      <c r="P20" s="26"/>
      <c r="Q20" s="27"/>
      <c r="R20" s="28"/>
      <c r="S20" s="28"/>
      <c r="T20" s="28"/>
      <c r="U20" s="28"/>
      <c r="V20" s="28"/>
      <c r="W20" s="28"/>
      <c r="X20" s="28"/>
    </row>
    <row r="21" spans="1:26" ht="13.5" customHeight="1" x14ac:dyDescent="0.25">
      <c r="A21" s="50"/>
      <c r="B21" s="93"/>
      <c r="C21" s="43"/>
      <c r="D21" s="26"/>
      <c r="E21" s="27"/>
      <c r="F21" s="28"/>
      <c r="G21" s="28"/>
      <c r="H21" s="28"/>
      <c r="I21" s="28"/>
      <c r="J21" s="28"/>
      <c r="K21" s="28"/>
      <c r="L21" s="28"/>
      <c r="P21" s="26"/>
      <c r="Q21" s="27"/>
      <c r="R21" s="28"/>
      <c r="S21" s="28"/>
      <c r="T21" s="28"/>
      <c r="U21" s="28"/>
      <c r="V21" s="28"/>
      <c r="W21" s="28"/>
      <c r="X21" s="28"/>
    </row>
    <row r="22" spans="1:26" ht="13.5" customHeight="1" thickBot="1" x14ac:dyDescent="0.3">
      <c r="A22" s="69"/>
      <c r="B22" s="69"/>
      <c r="D22" s="26"/>
      <c r="E22" s="27"/>
      <c r="F22" s="28"/>
      <c r="G22" s="28"/>
      <c r="H22" s="28"/>
      <c r="I22" s="28"/>
      <c r="J22" s="28"/>
      <c r="K22" s="28"/>
      <c r="L22" s="28"/>
      <c r="P22" s="26"/>
      <c r="Q22" s="27"/>
      <c r="R22" s="28"/>
      <c r="S22" s="28"/>
      <c r="T22" s="28"/>
      <c r="U22" s="28"/>
      <c r="V22" s="28"/>
      <c r="W22" s="28"/>
      <c r="X22" s="28"/>
    </row>
    <row r="23" spans="1:26" ht="18.75" customHeight="1" thickBot="1" x14ac:dyDescent="0.3">
      <c r="A23" s="76" t="s">
        <v>23</v>
      </c>
      <c r="B23" s="76"/>
      <c r="C23" s="92"/>
      <c r="D23" s="67" t="s">
        <v>24</v>
      </c>
      <c r="E23" s="75"/>
      <c r="F23" s="75"/>
      <c r="G23" s="75"/>
      <c r="H23" s="75"/>
      <c r="I23" s="75"/>
      <c r="J23" s="75"/>
      <c r="K23" s="75"/>
      <c r="L23" s="75"/>
      <c r="M23" s="75"/>
      <c r="N23" s="68"/>
      <c r="P23" s="67" t="s">
        <v>25</v>
      </c>
      <c r="Q23" s="75"/>
      <c r="R23" s="75"/>
      <c r="S23" s="75"/>
      <c r="T23" s="75"/>
      <c r="U23" s="75"/>
      <c r="V23" s="75"/>
      <c r="W23" s="75"/>
      <c r="X23" s="75"/>
      <c r="Y23" s="75"/>
      <c r="Z23" s="68"/>
    </row>
    <row r="24" spans="1:26" ht="13.5" customHeight="1" thickBot="1" x14ac:dyDescent="0.3">
      <c r="A24" s="47" t="s">
        <v>12</v>
      </c>
      <c r="B24" s="44">
        <f>'Crop Comparison'!D28</f>
        <v>9127.0088043115393</v>
      </c>
      <c r="C24" s="43"/>
      <c r="D24" s="2"/>
      <c r="E24" s="3"/>
      <c r="F24" s="4"/>
      <c r="G24" s="5"/>
      <c r="H24" s="4"/>
      <c r="I24" s="4"/>
      <c r="J24" s="4" t="s">
        <v>13</v>
      </c>
      <c r="K24" s="6"/>
      <c r="L24" s="4"/>
      <c r="M24" s="6"/>
      <c r="N24" s="4"/>
      <c r="P24" s="2"/>
      <c r="Q24" s="3"/>
      <c r="R24" s="4"/>
      <c r="S24" s="5"/>
      <c r="T24" s="4"/>
      <c r="U24" s="4"/>
      <c r="V24" s="4" t="s">
        <v>13</v>
      </c>
      <c r="W24" s="6"/>
      <c r="X24" s="4"/>
      <c r="Y24" s="6"/>
      <c r="Z24" s="4"/>
    </row>
    <row r="25" spans="1:26" ht="13.5" customHeight="1" thickBot="1" x14ac:dyDescent="0.3">
      <c r="A25" s="47" t="s">
        <v>14</v>
      </c>
      <c r="B25" s="44">
        <f>'Crop Comparison'!D30</f>
        <v>5786.3480645999998</v>
      </c>
      <c r="C25" s="43"/>
      <c r="D25" s="67" t="s">
        <v>15</v>
      </c>
      <c r="E25" s="68"/>
      <c r="F25" s="29">
        <f>G25-200</f>
        <v>9200</v>
      </c>
      <c r="G25" s="29">
        <f>H25-200</f>
        <v>9400</v>
      </c>
      <c r="H25" s="29">
        <f>I25-200</f>
        <v>9600</v>
      </c>
      <c r="I25" s="30">
        <f>J25-200</f>
        <v>9800</v>
      </c>
      <c r="J25" s="31">
        <f>B30</f>
        <v>10000</v>
      </c>
      <c r="K25" s="30">
        <f>J25+200</f>
        <v>10200</v>
      </c>
      <c r="L25" s="30">
        <f>K25+200</f>
        <v>10400</v>
      </c>
      <c r="M25" s="30">
        <f>L25+200</f>
        <v>10600</v>
      </c>
      <c r="N25" s="30">
        <f>M25+200</f>
        <v>10800</v>
      </c>
      <c r="P25" s="67" t="s">
        <v>15</v>
      </c>
      <c r="Q25" s="68"/>
      <c r="R25" s="29">
        <f>S25-200</f>
        <v>9200</v>
      </c>
      <c r="S25" s="29">
        <f>T25-200</f>
        <v>9400</v>
      </c>
      <c r="T25" s="29">
        <f>U25-200</f>
        <v>9600</v>
      </c>
      <c r="U25" s="30">
        <f>V25-200</f>
        <v>9800</v>
      </c>
      <c r="V25" s="31">
        <f>J25</f>
        <v>10000</v>
      </c>
      <c r="W25" s="30">
        <f>V25+200</f>
        <v>10200</v>
      </c>
      <c r="X25" s="30">
        <f>W25+200</f>
        <v>10400</v>
      </c>
      <c r="Y25" s="30">
        <f>X25+200</f>
        <v>10600</v>
      </c>
      <c r="Z25" s="30">
        <f>Y25+200</f>
        <v>10800</v>
      </c>
    </row>
    <row r="26" spans="1:26" ht="13.5" customHeight="1" thickBot="1" x14ac:dyDescent="0.3">
      <c r="A26" s="48" t="s">
        <v>16</v>
      </c>
      <c r="B26" s="52">
        <f>B25+B24</f>
        <v>14913.356868911538</v>
      </c>
      <c r="C26" s="93"/>
      <c r="D26" s="73" t="s">
        <v>17</v>
      </c>
      <c r="E26" s="74"/>
      <c r="F26" s="32">
        <f t="shared" ref="F26:N26" si="4">F25-$B$31</f>
        <v>8722.48</v>
      </c>
      <c r="G26" s="32">
        <f t="shared" si="4"/>
        <v>8922.48</v>
      </c>
      <c r="H26" s="32">
        <f t="shared" si="4"/>
        <v>9122.48</v>
      </c>
      <c r="I26" s="32">
        <f t="shared" si="4"/>
        <v>9322.48</v>
      </c>
      <c r="J26" s="33">
        <f t="shared" si="4"/>
        <v>9522.48</v>
      </c>
      <c r="K26" s="32">
        <f t="shared" si="4"/>
        <v>9722.48</v>
      </c>
      <c r="L26" s="32">
        <f t="shared" si="4"/>
        <v>9922.48</v>
      </c>
      <c r="M26" s="32">
        <f t="shared" si="4"/>
        <v>10122.48</v>
      </c>
      <c r="N26" s="32">
        <f t="shared" si="4"/>
        <v>10322.48</v>
      </c>
      <c r="P26" s="73" t="s">
        <v>17</v>
      </c>
      <c r="Q26" s="74"/>
      <c r="R26" s="32">
        <f t="shared" ref="R26:Z26" si="5">R25-$B$31</f>
        <v>8722.48</v>
      </c>
      <c r="S26" s="32">
        <f t="shared" si="5"/>
        <v>8922.48</v>
      </c>
      <c r="T26" s="32">
        <f t="shared" si="5"/>
        <v>9122.48</v>
      </c>
      <c r="U26" s="32">
        <f t="shared" si="5"/>
        <v>9322.48</v>
      </c>
      <c r="V26" s="33">
        <f t="shared" si="5"/>
        <v>9522.48</v>
      </c>
      <c r="W26" s="32">
        <f t="shared" si="5"/>
        <v>9722.48</v>
      </c>
      <c r="X26" s="32">
        <f t="shared" si="5"/>
        <v>9922.48</v>
      </c>
      <c r="Y26" s="32">
        <f t="shared" si="5"/>
        <v>10122.48</v>
      </c>
      <c r="Z26" s="32">
        <f t="shared" si="5"/>
        <v>10322.48</v>
      </c>
    </row>
    <row r="27" spans="1:26" ht="13.5" customHeight="1" thickBot="1" x14ac:dyDescent="0.3">
      <c r="A27" s="47"/>
      <c r="B27" s="43"/>
      <c r="C27" s="43"/>
      <c r="D27" s="70" t="s">
        <v>18</v>
      </c>
      <c r="E27" s="12">
        <f>E28-0.25</f>
        <v>0.75</v>
      </c>
      <c r="F27" s="13">
        <f t="shared" ref="F27:N31" si="6">F$26-($B$26/$E27)</f>
        <v>-11161.995825215385</v>
      </c>
      <c r="G27" s="13">
        <f t="shared" si="6"/>
        <v>-10961.995825215385</v>
      </c>
      <c r="H27" s="13">
        <f t="shared" si="6"/>
        <v>-10761.995825215385</v>
      </c>
      <c r="I27" s="13">
        <f t="shared" si="6"/>
        <v>-10561.995825215385</v>
      </c>
      <c r="J27" s="13">
        <f t="shared" si="6"/>
        <v>-10361.995825215385</v>
      </c>
      <c r="K27" s="13">
        <f t="shared" si="6"/>
        <v>-10161.995825215385</v>
      </c>
      <c r="L27" s="13">
        <f t="shared" si="6"/>
        <v>-9961.9958252153847</v>
      </c>
      <c r="M27" s="13">
        <f t="shared" si="6"/>
        <v>-9761.9958252153847</v>
      </c>
      <c r="N27" s="13">
        <f t="shared" si="6"/>
        <v>-9561.9958252153847</v>
      </c>
      <c r="P27" s="70" t="s">
        <v>18</v>
      </c>
      <c r="Q27" s="12">
        <f>Q28-0.25</f>
        <v>0.75</v>
      </c>
      <c r="R27" s="13">
        <f t="shared" ref="R27:Z31" si="7">R$26-($B$24/$E27)</f>
        <v>-3446.8650724153867</v>
      </c>
      <c r="S27" s="13">
        <f t="shared" si="7"/>
        <v>-3246.8650724153867</v>
      </c>
      <c r="T27" s="13">
        <f t="shared" si="7"/>
        <v>-3046.8650724153867</v>
      </c>
      <c r="U27" s="13">
        <f t="shared" si="7"/>
        <v>-2846.8650724153867</v>
      </c>
      <c r="V27" s="13">
        <f t="shared" si="7"/>
        <v>-2646.8650724153867</v>
      </c>
      <c r="W27" s="13">
        <f t="shared" si="7"/>
        <v>-2446.8650724153867</v>
      </c>
      <c r="X27" s="13">
        <f t="shared" si="7"/>
        <v>-2246.8650724153867</v>
      </c>
      <c r="Y27" s="13">
        <f t="shared" si="7"/>
        <v>-2046.8650724153867</v>
      </c>
      <c r="Z27" s="13">
        <f t="shared" si="7"/>
        <v>-1846.8650724153867</v>
      </c>
    </row>
    <row r="28" spans="1:26" ht="13.5" customHeight="1" thickBot="1" x14ac:dyDescent="0.3">
      <c r="A28" s="47" t="s">
        <v>19</v>
      </c>
      <c r="B28" s="94">
        <v>1.25</v>
      </c>
      <c r="C28" s="43"/>
      <c r="D28" s="71"/>
      <c r="E28" s="12">
        <f>E29-0.25</f>
        <v>1</v>
      </c>
      <c r="F28" s="13">
        <f t="shared" si="6"/>
        <v>-6190.8768689115386</v>
      </c>
      <c r="G28" s="13">
        <f t="shared" si="6"/>
        <v>-5990.8768689115386</v>
      </c>
      <c r="H28" s="13">
        <f t="shared" si="6"/>
        <v>-5790.8768689115386</v>
      </c>
      <c r="I28" s="13">
        <f t="shared" si="6"/>
        <v>-5590.8768689115386</v>
      </c>
      <c r="J28" s="13">
        <f t="shared" si="6"/>
        <v>-5390.8768689115386</v>
      </c>
      <c r="K28" s="13">
        <f t="shared" si="6"/>
        <v>-5190.8768689115386</v>
      </c>
      <c r="L28" s="13">
        <f t="shared" si="6"/>
        <v>-4990.8768689115386</v>
      </c>
      <c r="M28" s="13">
        <f t="shared" si="6"/>
        <v>-4790.8768689115386</v>
      </c>
      <c r="N28" s="13">
        <f t="shared" si="6"/>
        <v>-4590.8768689115386</v>
      </c>
      <c r="P28" s="71"/>
      <c r="Q28" s="12">
        <f>Q29-0.25</f>
        <v>1</v>
      </c>
      <c r="R28" s="13">
        <f t="shared" si="7"/>
        <v>-404.52880431153972</v>
      </c>
      <c r="S28" s="13">
        <f t="shared" si="7"/>
        <v>-204.52880431153972</v>
      </c>
      <c r="T28" s="13">
        <f t="shared" si="7"/>
        <v>-4.5288043115397159</v>
      </c>
      <c r="U28" s="13">
        <f t="shared" si="7"/>
        <v>195.47119568846028</v>
      </c>
      <c r="V28" s="13">
        <f t="shared" si="7"/>
        <v>395.47119568846028</v>
      </c>
      <c r="W28" s="13">
        <f t="shared" si="7"/>
        <v>595.47119568846028</v>
      </c>
      <c r="X28" s="13">
        <f t="shared" si="7"/>
        <v>795.47119568846028</v>
      </c>
      <c r="Y28" s="13">
        <f t="shared" si="7"/>
        <v>995.47119568846028</v>
      </c>
      <c r="Z28" s="13">
        <f t="shared" si="7"/>
        <v>1195.4711956884603</v>
      </c>
    </row>
    <row r="29" spans="1:26" ht="13.5" customHeight="1" thickBot="1" x14ac:dyDescent="0.3">
      <c r="A29" s="47"/>
      <c r="B29" s="43"/>
      <c r="C29" s="43"/>
      <c r="D29" s="71"/>
      <c r="E29" s="54">
        <f>B28</f>
        <v>1.25</v>
      </c>
      <c r="F29" s="13">
        <f t="shared" si="6"/>
        <v>-3208.2054951292303</v>
      </c>
      <c r="G29" s="13">
        <f t="shared" si="6"/>
        <v>-3008.2054951292303</v>
      </c>
      <c r="H29" s="13">
        <f t="shared" si="6"/>
        <v>-2808.2054951292303</v>
      </c>
      <c r="I29" s="13">
        <f t="shared" si="6"/>
        <v>-2608.2054951292303</v>
      </c>
      <c r="J29" s="13">
        <f t="shared" si="6"/>
        <v>-2408.2054951292303</v>
      </c>
      <c r="K29" s="13">
        <f t="shared" si="6"/>
        <v>-2208.2054951292303</v>
      </c>
      <c r="L29" s="13">
        <f t="shared" si="6"/>
        <v>-2008.2054951292303</v>
      </c>
      <c r="M29" s="13">
        <f t="shared" si="6"/>
        <v>-1808.2054951292303</v>
      </c>
      <c r="N29" s="13">
        <f t="shared" si="6"/>
        <v>-1608.2054951292303</v>
      </c>
      <c r="P29" s="71"/>
      <c r="Q29" s="21">
        <f>E29</f>
        <v>1.25</v>
      </c>
      <c r="R29" s="13">
        <f t="shared" si="7"/>
        <v>1420.8729565507683</v>
      </c>
      <c r="S29" s="13">
        <f t="shared" si="7"/>
        <v>1620.8729565507683</v>
      </c>
      <c r="T29" s="13">
        <f t="shared" si="7"/>
        <v>1820.8729565507683</v>
      </c>
      <c r="U29" s="13">
        <f t="shared" si="7"/>
        <v>2020.8729565507683</v>
      </c>
      <c r="V29" s="13">
        <f t="shared" si="7"/>
        <v>2220.8729565507683</v>
      </c>
      <c r="W29" s="13">
        <f t="shared" si="7"/>
        <v>2420.8729565507683</v>
      </c>
      <c r="X29" s="13">
        <f t="shared" si="7"/>
        <v>2620.8729565507683</v>
      </c>
      <c r="Y29" s="13">
        <f t="shared" si="7"/>
        <v>2820.8729565507683</v>
      </c>
      <c r="Z29" s="13">
        <f t="shared" si="7"/>
        <v>3020.8729565507683</v>
      </c>
    </row>
    <row r="30" spans="1:26" ht="13.5" customHeight="1" thickBot="1" x14ac:dyDescent="0.3">
      <c r="A30" s="47" t="s">
        <v>26</v>
      </c>
      <c r="B30" s="44">
        <f>B5</f>
        <v>10000</v>
      </c>
      <c r="C30" s="43"/>
      <c r="D30" s="71"/>
      <c r="E30" s="12">
        <f>E29+0.25</f>
        <v>1.5</v>
      </c>
      <c r="F30" s="13">
        <f t="shared" si="6"/>
        <v>-1219.7579126076926</v>
      </c>
      <c r="G30" s="13">
        <f t="shared" si="6"/>
        <v>-1019.7579126076926</v>
      </c>
      <c r="H30" s="13">
        <f t="shared" si="6"/>
        <v>-819.75791260769256</v>
      </c>
      <c r="I30" s="13">
        <f t="shared" si="6"/>
        <v>-619.75791260769256</v>
      </c>
      <c r="J30" s="13">
        <f t="shared" si="6"/>
        <v>-419.75791260769256</v>
      </c>
      <c r="K30" s="13">
        <f t="shared" si="6"/>
        <v>-219.75791260769256</v>
      </c>
      <c r="L30" s="13">
        <f t="shared" si="6"/>
        <v>-19.75791260769256</v>
      </c>
      <c r="M30" s="13">
        <f t="shared" si="6"/>
        <v>180.24208739230744</v>
      </c>
      <c r="N30" s="13">
        <f t="shared" si="6"/>
        <v>380.24208739230744</v>
      </c>
      <c r="P30" s="71"/>
      <c r="Q30" s="12">
        <f>Q29+0.25</f>
        <v>1.5</v>
      </c>
      <c r="R30" s="13">
        <f t="shared" si="7"/>
        <v>2637.8074637923064</v>
      </c>
      <c r="S30" s="13">
        <f t="shared" si="7"/>
        <v>2837.8074637923064</v>
      </c>
      <c r="T30" s="13">
        <f t="shared" si="7"/>
        <v>3037.8074637923064</v>
      </c>
      <c r="U30" s="13">
        <f t="shared" si="7"/>
        <v>3237.8074637923064</v>
      </c>
      <c r="V30" s="13">
        <f t="shared" si="7"/>
        <v>3437.8074637923064</v>
      </c>
      <c r="W30" s="13">
        <f t="shared" si="7"/>
        <v>3637.8074637923064</v>
      </c>
      <c r="X30" s="13">
        <f t="shared" si="7"/>
        <v>3837.8074637923064</v>
      </c>
      <c r="Y30" s="13">
        <f t="shared" si="7"/>
        <v>4037.8074637923064</v>
      </c>
      <c r="Z30" s="13">
        <f t="shared" si="7"/>
        <v>4237.8074637923064</v>
      </c>
    </row>
    <row r="31" spans="1:26" ht="13.5" customHeight="1" thickBot="1" x14ac:dyDescent="0.3">
      <c r="A31" s="49" t="s">
        <v>21</v>
      </c>
      <c r="B31" s="44">
        <f>D5</f>
        <v>477.52</v>
      </c>
      <c r="C31" s="43"/>
      <c r="D31" s="72"/>
      <c r="E31" s="12">
        <f>E30+0.25</f>
        <v>1.75</v>
      </c>
      <c r="F31" s="13">
        <f>F$26-($B$26/$E31)</f>
        <v>200.56178919340709</v>
      </c>
      <c r="G31" s="13">
        <f t="shared" si="6"/>
        <v>400.56178919340709</v>
      </c>
      <c r="H31" s="13">
        <f t="shared" si="6"/>
        <v>600.56178919340709</v>
      </c>
      <c r="I31" s="13">
        <f t="shared" si="6"/>
        <v>800.56178919340709</v>
      </c>
      <c r="J31" s="13">
        <f t="shared" si="6"/>
        <v>1000.5617891934071</v>
      </c>
      <c r="K31" s="13">
        <f t="shared" si="6"/>
        <v>1200.5617891934071</v>
      </c>
      <c r="L31" s="13">
        <f t="shared" si="6"/>
        <v>1400.5617891934071</v>
      </c>
      <c r="M31" s="13">
        <f t="shared" si="6"/>
        <v>1600.5617891934071</v>
      </c>
      <c r="N31" s="13">
        <f>N$26-($B$26/$E31)</f>
        <v>1800.5617891934071</v>
      </c>
      <c r="P31" s="72"/>
      <c r="Q31" s="12">
        <f>Q30+0.25</f>
        <v>1.75</v>
      </c>
      <c r="R31" s="13">
        <f>R$26-($B$24/$E31)</f>
        <v>3507.0463975362627</v>
      </c>
      <c r="S31" s="13">
        <f t="shared" si="7"/>
        <v>3707.0463975362627</v>
      </c>
      <c r="T31" s="13">
        <f t="shared" si="7"/>
        <v>3907.0463975362627</v>
      </c>
      <c r="U31" s="13">
        <f t="shared" si="7"/>
        <v>4107.0463975362627</v>
      </c>
      <c r="V31" s="13">
        <f t="shared" si="7"/>
        <v>4307.0463975362627</v>
      </c>
      <c r="W31" s="13">
        <f t="shared" si="7"/>
        <v>4507.0463975362627</v>
      </c>
      <c r="X31" s="13">
        <f t="shared" si="7"/>
        <v>4707.0463975362627</v>
      </c>
      <c r="Y31" s="13">
        <f t="shared" si="7"/>
        <v>4907.0463975362627</v>
      </c>
      <c r="Z31" s="13">
        <f t="shared" si="7"/>
        <v>5107.0463975362627</v>
      </c>
    </row>
    <row r="32" spans="1:26" ht="13.5" customHeight="1" x14ac:dyDescent="0.25">
      <c r="A32" s="50" t="s">
        <v>22</v>
      </c>
      <c r="B32" s="52">
        <f>B30-B31</f>
        <v>9522.48</v>
      </c>
      <c r="C32" s="43"/>
      <c r="D32" s="26"/>
      <c r="E32" s="27"/>
      <c r="F32" s="28"/>
      <c r="G32" s="28"/>
      <c r="H32" s="28"/>
      <c r="I32" s="28"/>
      <c r="J32" s="28"/>
      <c r="K32" s="28"/>
      <c r="L32" s="28"/>
      <c r="P32" s="26"/>
      <c r="Q32" s="27"/>
      <c r="R32" s="28"/>
      <c r="S32" s="28"/>
      <c r="T32" s="28"/>
      <c r="U32" s="28"/>
      <c r="V32" s="28"/>
      <c r="W32" s="28"/>
      <c r="X32" s="28"/>
    </row>
    <row r="33" spans="1:26" ht="13.5" customHeight="1" x14ac:dyDescent="0.25">
      <c r="A33" s="50"/>
      <c r="B33" s="93"/>
      <c r="C33" s="43"/>
      <c r="D33" s="26"/>
      <c r="E33" s="27"/>
      <c r="F33" s="28"/>
      <c r="G33" s="28"/>
      <c r="H33" s="28"/>
      <c r="I33" s="28"/>
      <c r="J33" s="28"/>
      <c r="K33" s="28"/>
      <c r="L33" s="28"/>
      <c r="P33" s="26"/>
      <c r="Q33" s="27"/>
      <c r="R33" s="28"/>
      <c r="S33" s="28"/>
      <c r="T33" s="28"/>
      <c r="U33" s="28"/>
      <c r="V33" s="28"/>
      <c r="W33" s="28"/>
      <c r="X33" s="28"/>
    </row>
    <row r="34" spans="1:26" ht="13.5" customHeight="1" x14ac:dyDescent="0.25">
      <c r="D34" s="26"/>
      <c r="E34" s="27"/>
      <c r="F34" s="28"/>
      <c r="G34" s="28"/>
      <c r="H34" s="28"/>
      <c r="I34" s="28"/>
      <c r="J34" s="28"/>
      <c r="K34" s="28"/>
      <c r="L34" s="28"/>
      <c r="P34" s="26"/>
      <c r="Q34" s="27"/>
      <c r="R34" s="28"/>
      <c r="S34" s="28"/>
      <c r="T34" s="28"/>
      <c r="U34" s="28"/>
      <c r="V34" s="28"/>
      <c r="W34" s="28"/>
      <c r="X34" s="28"/>
    </row>
    <row r="35" spans="1:26" ht="13.5" customHeight="1" thickBot="1" x14ac:dyDescent="0.3">
      <c r="A35" s="69"/>
      <c r="B35" s="69"/>
    </row>
    <row r="36" spans="1:26" ht="19.5" customHeight="1" thickBot="1" x14ac:dyDescent="0.3">
      <c r="A36" s="76" t="s">
        <v>27</v>
      </c>
      <c r="B36" s="76"/>
      <c r="C36" s="92"/>
      <c r="D36" s="67" t="s">
        <v>28</v>
      </c>
      <c r="E36" s="75"/>
      <c r="F36" s="75"/>
      <c r="G36" s="75"/>
      <c r="H36" s="75"/>
      <c r="I36" s="75"/>
      <c r="J36" s="75"/>
      <c r="K36" s="75"/>
      <c r="L36" s="75"/>
      <c r="M36" s="75"/>
      <c r="N36" s="68"/>
      <c r="P36" s="67" t="s">
        <v>29</v>
      </c>
      <c r="Q36" s="75"/>
      <c r="R36" s="75"/>
      <c r="S36" s="75"/>
      <c r="T36" s="75"/>
      <c r="U36" s="75"/>
      <c r="V36" s="75"/>
      <c r="W36" s="75"/>
      <c r="X36" s="75"/>
      <c r="Y36" s="75"/>
      <c r="Z36" s="68"/>
    </row>
    <row r="37" spans="1:26" ht="13.5" customHeight="1" thickBot="1" x14ac:dyDescent="0.3">
      <c r="A37" s="47" t="s">
        <v>12</v>
      </c>
      <c r="B37" s="44">
        <f>Sojabone!F26</f>
        <v>12646.040132832077</v>
      </c>
      <c r="C37" s="95"/>
      <c r="D37" s="2"/>
      <c r="E37" s="3"/>
      <c r="F37" s="4"/>
      <c r="G37" s="5"/>
      <c r="H37" s="4"/>
      <c r="I37" s="4"/>
      <c r="J37" s="4" t="s">
        <v>30</v>
      </c>
      <c r="K37" s="6"/>
      <c r="L37" s="4"/>
      <c r="M37" s="6"/>
      <c r="N37" s="4"/>
      <c r="P37" s="2"/>
      <c r="Q37" s="3"/>
      <c r="R37" s="4"/>
      <c r="S37" s="5"/>
      <c r="T37" s="4"/>
      <c r="U37" s="4"/>
      <c r="V37" s="4" t="s">
        <v>30</v>
      </c>
      <c r="W37" s="6"/>
      <c r="X37" s="4"/>
      <c r="Y37" s="6"/>
      <c r="Z37" s="4"/>
    </row>
    <row r="38" spans="1:26" ht="13.5" customHeight="1" thickBot="1" x14ac:dyDescent="0.3">
      <c r="A38" s="47" t="s">
        <v>14</v>
      </c>
      <c r="B38" s="44">
        <f>Sojabone!F28</f>
        <v>4226.6698500000002</v>
      </c>
      <c r="C38" s="95"/>
      <c r="D38" s="67" t="s">
        <v>15</v>
      </c>
      <c r="E38" s="68"/>
      <c r="F38" s="7">
        <f>G38-200</f>
        <v>7100</v>
      </c>
      <c r="G38" s="7">
        <f>H38-200</f>
        <v>7300</v>
      </c>
      <c r="H38" s="7">
        <f>I38-200</f>
        <v>7500</v>
      </c>
      <c r="I38" s="7">
        <f>J38-200</f>
        <v>7700</v>
      </c>
      <c r="J38" s="8">
        <f>B43</f>
        <v>7900</v>
      </c>
      <c r="K38" s="7">
        <f>J38+200</f>
        <v>8100</v>
      </c>
      <c r="L38" s="7">
        <f>K38+200</f>
        <v>8300</v>
      </c>
      <c r="M38" s="7">
        <f>L38+200</f>
        <v>8500</v>
      </c>
      <c r="N38" s="7">
        <f>M38+200</f>
        <v>8700</v>
      </c>
      <c r="P38" s="67" t="s">
        <v>15</v>
      </c>
      <c r="Q38" s="68"/>
      <c r="R38" s="7">
        <f>S38-200</f>
        <v>7100</v>
      </c>
      <c r="S38" s="7">
        <f>T38-200</f>
        <v>7300</v>
      </c>
      <c r="T38" s="7">
        <f>U38-200</f>
        <v>7500</v>
      </c>
      <c r="U38" s="7">
        <f>V38-200</f>
        <v>7700</v>
      </c>
      <c r="V38" s="4">
        <f>J38</f>
        <v>7900</v>
      </c>
      <c r="W38" s="7">
        <f>V38+200</f>
        <v>8100</v>
      </c>
      <c r="X38" s="7">
        <f>W38+200</f>
        <v>8300</v>
      </c>
      <c r="Y38" s="7">
        <f>X38+200</f>
        <v>8500</v>
      </c>
      <c r="Z38" s="7">
        <f>Y38+200</f>
        <v>8700</v>
      </c>
    </row>
    <row r="39" spans="1:26" ht="13.5" customHeight="1" thickBot="1" x14ac:dyDescent="0.3">
      <c r="A39" s="48" t="s">
        <v>16</v>
      </c>
      <c r="B39" s="52">
        <f>B38+B37</f>
        <v>16872.709982832079</v>
      </c>
      <c r="C39" s="96"/>
      <c r="D39" s="73" t="s">
        <v>17</v>
      </c>
      <c r="E39" s="74"/>
      <c r="F39" s="34">
        <f t="shared" ref="F39:N39" si="8">F38-$B$44</f>
        <v>6993.83</v>
      </c>
      <c r="G39" s="9">
        <f t="shared" si="8"/>
        <v>7193.83</v>
      </c>
      <c r="H39" s="9">
        <f t="shared" si="8"/>
        <v>7393.83</v>
      </c>
      <c r="I39" s="9">
        <f t="shared" si="8"/>
        <v>7593.83</v>
      </c>
      <c r="J39" s="11">
        <f t="shared" si="8"/>
        <v>7793.83</v>
      </c>
      <c r="K39" s="9">
        <f t="shared" si="8"/>
        <v>7993.83</v>
      </c>
      <c r="L39" s="9">
        <f t="shared" si="8"/>
        <v>8193.83</v>
      </c>
      <c r="M39" s="9">
        <f t="shared" si="8"/>
        <v>8393.83</v>
      </c>
      <c r="N39" s="9">
        <f t="shared" si="8"/>
        <v>8593.83</v>
      </c>
      <c r="P39" s="73" t="s">
        <v>17</v>
      </c>
      <c r="Q39" s="74"/>
      <c r="R39" s="9">
        <f t="shared" ref="R39:Z39" si="9">R38-$B$44</f>
        <v>6993.83</v>
      </c>
      <c r="S39" s="9">
        <f t="shared" si="9"/>
        <v>7193.83</v>
      </c>
      <c r="T39" s="9">
        <f t="shared" si="9"/>
        <v>7393.83</v>
      </c>
      <c r="U39" s="9">
        <f t="shared" si="9"/>
        <v>7593.83</v>
      </c>
      <c r="V39" s="11">
        <f t="shared" si="9"/>
        <v>7793.83</v>
      </c>
      <c r="W39" s="9">
        <f t="shared" si="9"/>
        <v>7993.83</v>
      </c>
      <c r="X39" s="9">
        <f t="shared" si="9"/>
        <v>8193.83</v>
      </c>
      <c r="Y39" s="9">
        <f t="shared" si="9"/>
        <v>8393.83</v>
      </c>
      <c r="Z39" s="9">
        <f t="shared" si="9"/>
        <v>8593.83</v>
      </c>
    </row>
    <row r="40" spans="1:26" ht="13.5" customHeight="1" thickBot="1" x14ac:dyDescent="0.3">
      <c r="A40" s="47"/>
      <c r="B40" s="43"/>
      <c r="C40" s="97"/>
      <c r="D40" s="70" t="s">
        <v>18</v>
      </c>
      <c r="E40" s="12">
        <f>E41-0.25</f>
        <v>1.5</v>
      </c>
      <c r="F40" s="13">
        <f>F$39-($B$39/$E40)</f>
        <v>-4254.643321888052</v>
      </c>
      <c r="G40" s="14">
        <f t="shared" ref="F40:N44" si="10">G$39-($B$39/$E40)</f>
        <v>-4054.643321888052</v>
      </c>
      <c r="H40" s="14">
        <f t="shared" si="10"/>
        <v>-3854.643321888052</v>
      </c>
      <c r="I40" s="14">
        <f t="shared" si="10"/>
        <v>-3654.643321888052</v>
      </c>
      <c r="J40" s="14">
        <f t="shared" si="10"/>
        <v>-3454.643321888052</v>
      </c>
      <c r="K40" s="14">
        <f t="shared" si="10"/>
        <v>-3254.643321888052</v>
      </c>
      <c r="L40" s="14">
        <f t="shared" si="10"/>
        <v>-3054.643321888052</v>
      </c>
      <c r="M40" s="15">
        <f t="shared" si="10"/>
        <v>-2854.643321888052</v>
      </c>
      <c r="N40" s="16">
        <f t="shared" si="10"/>
        <v>-2654.643321888052</v>
      </c>
      <c r="P40" s="70" t="s">
        <v>18</v>
      </c>
      <c r="Q40" s="12">
        <f>Q41-0.25</f>
        <v>1.5</v>
      </c>
      <c r="R40" s="13">
        <f>R$39-($B$37/$E40)</f>
        <v>-1436.8634218880507</v>
      </c>
      <c r="S40" s="13">
        <f t="shared" ref="S40:Z40" si="11">S$39-($B$37/$E40)</f>
        <v>-1236.8634218880507</v>
      </c>
      <c r="T40" s="13">
        <f t="shared" si="11"/>
        <v>-1036.8634218880507</v>
      </c>
      <c r="U40" s="13">
        <f t="shared" si="11"/>
        <v>-836.86342188805065</v>
      </c>
      <c r="V40" s="13">
        <f t="shared" si="11"/>
        <v>-636.86342188805065</v>
      </c>
      <c r="W40" s="13">
        <f t="shared" si="11"/>
        <v>-436.86342188805065</v>
      </c>
      <c r="X40" s="13">
        <f t="shared" si="11"/>
        <v>-236.86342188805065</v>
      </c>
      <c r="Y40" s="13">
        <f t="shared" si="11"/>
        <v>-36.863421888050652</v>
      </c>
      <c r="Z40" s="13">
        <f t="shared" si="11"/>
        <v>163.13657811194935</v>
      </c>
    </row>
    <row r="41" spans="1:26" ht="13.5" customHeight="1" thickBot="1" x14ac:dyDescent="0.3">
      <c r="A41" s="47" t="s">
        <v>19</v>
      </c>
      <c r="B41" s="94">
        <v>2</v>
      </c>
      <c r="C41" s="98"/>
      <c r="D41" s="71"/>
      <c r="E41" s="12">
        <f>E42-0.25</f>
        <v>1.75</v>
      </c>
      <c r="F41" s="17">
        <f t="shared" si="10"/>
        <v>-2647.7185616183306</v>
      </c>
      <c r="G41" s="18">
        <f t="shared" si="10"/>
        <v>-2447.7185616183306</v>
      </c>
      <c r="H41" s="18">
        <f t="shared" si="10"/>
        <v>-2247.7185616183306</v>
      </c>
      <c r="I41" s="18">
        <f t="shared" si="10"/>
        <v>-2047.7185616183306</v>
      </c>
      <c r="J41" s="18">
        <f t="shared" si="10"/>
        <v>-1847.7185616183306</v>
      </c>
      <c r="K41" s="19">
        <f t="shared" si="10"/>
        <v>-1647.7185616183306</v>
      </c>
      <c r="L41" s="19">
        <f t="shared" si="10"/>
        <v>-1447.7185616183306</v>
      </c>
      <c r="M41" s="19">
        <f t="shared" si="10"/>
        <v>-1247.7185616183306</v>
      </c>
      <c r="N41" s="20">
        <f t="shared" si="10"/>
        <v>-1047.7185616183306</v>
      </c>
      <c r="P41" s="71"/>
      <c r="Q41" s="12">
        <f>Q42-0.25</f>
        <v>1.75</v>
      </c>
      <c r="R41" s="13">
        <f t="shared" ref="R41:Z44" si="12">R$39-($B$37/$E41)</f>
        <v>-232.47864733261576</v>
      </c>
      <c r="S41" s="13">
        <f t="shared" si="12"/>
        <v>-32.478647332615765</v>
      </c>
      <c r="T41" s="13">
        <f t="shared" si="12"/>
        <v>167.52135266738424</v>
      </c>
      <c r="U41" s="13">
        <f t="shared" si="12"/>
        <v>367.52135266738424</v>
      </c>
      <c r="V41" s="13">
        <f t="shared" si="12"/>
        <v>567.52135266738424</v>
      </c>
      <c r="W41" s="13">
        <f t="shared" si="12"/>
        <v>767.52135266738424</v>
      </c>
      <c r="X41" s="13">
        <f t="shared" si="12"/>
        <v>967.52135266738424</v>
      </c>
      <c r="Y41" s="13">
        <f t="shared" si="12"/>
        <v>1167.5213526673842</v>
      </c>
      <c r="Z41" s="13">
        <f t="shared" si="12"/>
        <v>1367.5213526673842</v>
      </c>
    </row>
    <row r="42" spans="1:26" ht="13.5" customHeight="1" thickBot="1" x14ac:dyDescent="0.3">
      <c r="A42" s="47"/>
      <c r="B42" s="43"/>
      <c r="C42" s="97"/>
      <c r="D42" s="71"/>
      <c r="E42" s="21">
        <f>B41</f>
        <v>2</v>
      </c>
      <c r="F42" s="17">
        <f t="shared" si="10"/>
        <v>-1442.5249914160395</v>
      </c>
      <c r="G42" s="18">
        <f t="shared" si="10"/>
        <v>-1242.5249914160395</v>
      </c>
      <c r="H42" s="18">
        <f t="shared" si="10"/>
        <v>-1042.5249914160395</v>
      </c>
      <c r="I42" s="18">
        <f t="shared" si="10"/>
        <v>-842.52499141603948</v>
      </c>
      <c r="J42" s="19">
        <f t="shared" si="10"/>
        <v>-642.52499141603948</v>
      </c>
      <c r="K42" s="19">
        <f t="shared" si="10"/>
        <v>-442.52499141603948</v>
      </c>
      <c r="L42" s="19">
        <f t="shared" si="10"/>
        <v>-242.52499141603948</v>
      </c>
      <c r="M42" s="19">
        <f t="shared" si="10"/>
        <v>-42.524991416039484</v>
      </c>
      <c r="N42" s="20">
        <f t="shared" si="10"/>
        <v>157.47500858396052</v>
      </c>
      <c r="P42" s="71"/>
      <c r="Q42" s="21">
        <f>E42</f>
        <v>2</v>
      </c>
      <c r="R42" s="13">
        <f>R$39-($B$37/$E42)</f>
        <v>670.80993358396154</v>
      </c>
      <c r="S42" s="13">
        <f t="shared" si="12"/>
        <v>870.80993358396154</v>
      </c>
      <c r="T42" s="13">
        <f t="shared" si="12"/>
        <v>1070.8099335839615</v>
      </c>
      <c r="U42" s="13">
        <f t="shared" si="12"/>
        <v>1270.8099335839615</v>
      </c>
      <c r="V42" s="13">
        <f t="shared" si="12"/>
        <v>1470.8099335839615</v>
      </c>
      <c r="W42" s="13">
        <f t="shared" si="12"/>
        <v>1670.8099335839615</v>
      </c>
      <c r="X42" s="13">
        <f t="shared" si="12"/>
        <v>1870.8099335839615</v>
      </c>
      <c r="Y42" s="13">
        <f t="shared" si="12"/>
        <v>2070.8099335839615</v>
      </c>
      <c r="Z42" s="13">
        <f t="shared" si="12"/>
        <v>2270.8099335839615</v>
      </c>
    </row>
    <row r="43" spans="1:26" ht="13.5" customHeight="1" thickBot="1" x14ac:dyDescent="0.3">
      <c r="A43" s="47" t="s">
        <v>31</v>
      </c>
      <c r="B43" s="44">
        <f>B6</f>
        <v>7900</v>
      </c>
      <c r="C43" s="97"/>
      <c r="D43" s="71"/>
      <c r="E43" s="12">
        <f>E42+0.25</f>
        <v>2.25</v>
      </c>
      <c r="F43" s="17">
        <f t="shared" si="10"/>
        <v>-505.15221459203531</v>
      </c>
      <c r="G43" s="18">
        <f t="shared" si="10"/>
        <v>-305.15221459203531</v>
      </c>
      <c r="H43" s="18">
        <f t="shared" si="10"/>
        <v>-105.15221459203531</v>
      </c>
      <c r="I43" s="19">
        <f t="shared" si="10"/>
        <v>94.847785407964693</v>
      </c>
      <c r="J43" s="19">
        <f t="shared" si="10"/>
        <v>294.84778540796469</v>
      </c>
      <c r="K43" s="19">
        <f t="shared" si="10"/>
        <v>494.84778540796469</v>
      </c>
      <c r="L43" s="19">
        <f t="shared" si="10"/>
        <v>694.84778540796469</v>
      </c>
      <c r="M43" s="19">
        <f t="shared" si="10"/>
        <v>894.84778540796469</v>
      </c>
      <c r="N43" s="20">
        <f t="shared" si="10"/>
        <v>1094.8477854079647</v>
      </c>
      <c r="P43" s="71"/>
      <c r="Q43" s="12">
        <f>Q42+0.25</f>
        <v>2.25</v>
      </c>
      <c r="R43" s="13">
        <f t="shared" si="12"/>
        <v>1373.3677187412995</v>
      </c>
      <c r="S43" s="13">
        <f t="shared" si="12"/>
        <v>1573.3677187412995</v>
      </c>
      <c r="T43" s="13">
        <f t="shared" si="12"/>
        <v>1773.3677187412995</v>
      </c>
      <c r="U43" s="13">
        <f t="shared" si="12"/>
        <v>1973.3677187412995</v>
      </c>
      <c r="V43" s="13">
        <f t="shared" si="12"/>
        <v>2173.3677187412995</v>
      </c>
      <c r="W43" s="13">
        <f t="shared" si="12"/>
        <v>2373.3677187412995</v>
      </c>
      <c r="X43" s="13">
        <f t="shared" si="12"/>
        <v>2573.3677187412995</v>
      </c>
      <c r="Y43" s="13">
        <f t="shared" si="12"/>
        <v>2773.3677187412995</v>
      </c>
      <c r="Z43" s="13">
        <f t="shared" si="12"/>
        <v>2973.3677187412995</v>
      </c>
    </row>
    <row r="44" spans="1:26" ht="13.5" customHeight="1" thickBot="1" x14ac:dyDescent="0.3">
      <c r="A44" s="49" t="s">
        <v>21</v>
      </c>
      <c r="B44" s="44">
        <f>D6</f>
        <v>106.17</v>
      </c>
      <c r="C44" s="99"/>
      <c r="D44" s="72"/>
      <c r="E44" s="12">
        <f>E43+0.25</f>
        <v>2.5</v>
      </c>
      <c r="F44" s="22">
        <f t="shared" si="10"/>
        <v>244.74600686716803</v>
      </c>
      <c r="G44" s="23">
        <f>G$39-($B$39/$E44)</f>
        <v>444.74600686716803</v>
      </c>
      <c r="H44" s="24">
        <f t="shared" si="10"/>
        <v>644.74600686716803</v>
      </c>
      <c r="I44" s="24">
        <f t="shared" si="10"/>
        <v>844.74600686716803</v>
      </c>
      <c r="J44" s="24">
        <f t="shared" si="10"/>
        <v>1044.746006867168</v>
      </c>
      <c r="K44" s="24">
        <f t="shared" si="10"/>
        <v>1244.746006867168</v>
      </c>
      <c r="L44" s="24">
        <f t="shared" si="10"/>
        <v>1444.746006867168</v>
      </c>
      <c r="M44" s="24">
        <f t="shared" si="10"/>
        <v>1644.746006867168</v>
      </c>
      <c r="N44" s="25">
        <f>N$39-($B$39/$E44)</f>
        <v>1844.746006867168</v>
      </c>
      <c r="P44" s="72"/>
      <c r="Q44" s="12">
        <f>Q43+0.25</f>
        <v>2.5</v>
      </c>
      <c r="R44" s="13">
        <f t="shared" si="12"/>
        <v>1935.4139468671692</v>
      </c>
      <c r="S44" s="13">
        <f>S$39-($B$37/$E44)</f>
        <v>2135.4139468671692</v>
      </c>
      <c r="T44" s="13">
        <f t="shared" si="12"/>
        <v>2335.4139468671692</v>
      </c>
      <c r="U44" s="13">
        <f t="shared" si="12"/>
        <v>2535.4139468671692</v>
      </c>
      <c r="V44" s="13">
        <f t="shared" si="12"/>
        <v>2735.4139468671692</v>
      </c>
      <c r="W44" s="13">
        <f t="shared" si="12"/>
        <v>2935.4139468671692</v>
      </c>
      <c r="X44" s="13">
        <f t="shared" si="12"/>
        <v>3135.4139468671692</v>
      </c>
      <c r="Y44" s="13">
        <f t="shared" si="12"/>
        <v>3335.4139468671692</v>
      </c>
      <c r="Z44" s="13">
        <f t="shared" si="12"/>
        <v>3535.4139468671692</v>
      </c>
    </row>
    <row r="45" spans="1:26" ht="13.5" customHeight="1" x14ac:dyDescent="0.25">
      <c r="A45" s="50" t="s">
        <v>22</v>
      </c>
      <c r="B45" s="52">
        <f>B43-B44</f>
        <v>7793.83</v>
      </c>
      <c r="C45" s="99"/>
    </row>
    <row r="46" spans="1:26" ht="13.5" customHeight="1" x14ac:dyDescent="0.25"/>
    <row r="47" spans="1:26" ht="13.5" customHeight="1" x14ac:dyDescent="0.25"/>
  </sheetData>
  <sheetProtection selectLockedCells="1"/>
  <mergeCells count="29">
    <mergeCell ref="A9:B9"/>
    <mergeCell ref="D38:E38"/>
    <mergeCell ref="P38:Q38"/>
    <mergeCell ref="P13:Q13"/>
    <mergeCell ref="A23:B23"/>
    <mergeCell ref="A36:B36"/>
    <mergeCell ref="D14:D18"/>
    <mergeCell ref="P14:P18"/>
    <mergeCell ref="D10:N10"/>
    <mergeCell ref="P10:Z10"/>
    <mergeCell ref="D12:E12"/>
    <mergeCell ref="P12:Q12"/>
    <mergeCell ref="D13:E13"/>
    <mergeCell ref="D23:N23"/>
    <mergeCell ref="P23:Z23"/>
    <mergeCell ref="D25:E25"/>
    <mergeCell ref="P25:Q25"/>
    <mergeCell ref="A22:B22"/>
    <mergeCell ref="D40:D44"/>
    <mergeCell ref="P40:P44"/>
    <mergeCell ref="D26:E26"/>
    <mergeCell ref="P26:Q26"/>
    <mergeCell ref="D27:D31"/>
    <mergeCell ref="P27:P31"/>
    <mergeCell ref="D36:N36"/>
    <mergeCell ref="P36:Z36"/>
    <mergeCell ref="D39:E39"/>
    <mergeCell ref="P39:Q39"/>
    <mergeCell ref="A35:B35"/>
  </mergeCells>
  <conditionalFormatting sqref="F14:N18">
    <cfRule type="cellIs" dxfId="23" priority="45" stopIfTrue="1" operator="lessThan">
      <formula>1</formula>
    </cfRule>
    <cfRule type="cellIs" dxfId="22" priority="46" stopIfTrue="1" operator="greaterThan">
      <formula>1</formula>
    </cfRule>
    <cfRule type="cellIs" dxfId="21" priority="47" stopIfTrue="1" operator="lessThan">
      <formula>1</formula>
    </cfRule>
    <cfRule type="cellIs" dxfId="20" priority="48" stopIfTrue="1" operator="greaterThan">
      <formula>1</formula>
    </cfRule>
  </conditionalFormatting>
  <conditionalFormatting sqref="F27:N31">
    <cfRule type="cellIs" dxfId="19" priority="29" stopIfTrue="1" operator="lessThan">
      <formula>1</formula>
    </cfRule>
    <cfRule type="cellIs" dxfId="18" priority="30" stopIfTrue="1" operator="greaterThan">
      <formula>1</formula>
    </cfRule>
    <cfRule type="cellIs" dxfId="17" priority="31" stopIfTrue="1" operator="lessThan">
      <formula>1</formula>
    </cfRule>
    <cfRule type="cellIs" dxfId="16" priority="32" stopIfTrue="1" operator="greaterThan">
      <formula>1</formula>
    </cfRule>
  </conditionalFormatting>
  <conditionalFormatting sqref="F40:N44">
    <cfRule type="cellIs" dxfId="15" priority="41" stopIfTrue="1" operator="lessThan">
      <formula>1</formula>
    </cfRule>
    <cfRule type="cellIs" dxfId="14" priority="42" stopIfTrue="1" operator="greaterThan">
      <formula>1</formula>
    </cfRule>
    <cfRule type="cellIs" dxfId="13" priority="43" stopIfTrue="1" operator="lessThan">
      <formula>1</formula>
    </cfRule>
    <cfRule type="cellIs" dxfId="12" priority="44" stopIfTrue="1" operator="greaterThan">
      <formula>1</formula>
    </cfRule>
  </conditionalFormatting>
  <conditionalFormatting sqref="R14:Z18">
    <cfRule type="cellIs" dxfId="11" priority="37" stopIfTrue="1" operator="lessThan">
      <formula>1</formula>
    </cfRule>
    <cfRule type="cellIs" dxfId="10" priority="38" stopIfTrue="1" operator="greaterThan">
      <formula>1</formula>
    </cfRule>
    <cfRule type="cellIs" dxfId="9" priority="39" stopIfTrue="1" operator="lessThan">
      <formula>1</formula>
    </cfRule>
    <cfRule type="cellIs" dxfId="8" priority="40" stopIfTrue="1" operator="greaterThan">
      <formula>1</formula>
    </cfRule>
  </conditionalFormatting>
  <conditionalFormatting sqref="R27:Z31">
    <cfRule type="cellIs" dxfId="7" priority="25" stopIfTrue="1" operator="lessThan">
      <formula>1</formula>
    </cfRule>
    <cfRule type="cellIs" dxfId="6" priority="26" stopIfTrue="1" operator="greaterThan">
      <formula>1</formula>
    </cfRule>
    <cfRule type="cellIs" dxfId="5" priority="27" stopIfTrue="1" operator="lessThan">
      <formula>1</formula>
    </cfRule>
    <cfRule type="cellIs" dxfId="4" priority="28" stopIfTrue="1" operator="greaterThan">
      <formula>1</formula>
    </cfRule>
  </conditionalFormatting>
  <conditionalFormatting sqref="R40:Z44">
    <cfRule type="cellIs" dxfId="3" priority="33" stopIfTrue="1" operator="lessThan">
      <formula>1</formula>
    </cfRule>
    <cfRule type="cellIs" dxfId="2" priority="34" stopIfTrue="1" operator="greaterThan">
      <formula>1</formula>
    </cfRule>
    <cfRule type="cellIs" dxfId="1" priority="35" stopIfTrue="1" operator="lessThan">
      <formula>1</formula>
    </cfRule>
    <cfRule type="cellIs" dxfId="0" priority="36" stopIfTrue="1" operator="greaterThan">
      <formula>1</formula>
    </cfRule>
  </conditionalFormatting>
  <dataValidations count="3">
    <dataValidation type="list" allowBlank="1" showInputMessage="1" showErrorMessage="1" sqref="B15" xr:uid="{00000000-0002-0000-0000-000000000000}">
      <formula1>Obrengspeil</formula1>
    </dataValidation>
    <dataValidation type="list" allowBlank="1" showInputMessage="1" showErrorMessage="1" sqref="B28" xr:uid="{00000000-0002-0000-0000-000001000000}">
      <formula1>Sonopbrengspeil</formula1>
    </dataValidation>
    <dataValidation type="list" allowBlank="1" showInputMessage="1" showErrorMessage="1" sqref="B41" xr:uid="{00000000-0002-0000-0000-000002000000}">
      <formula1>Sojaopbrengspeil</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7"/>
  <sheetViews>
    <sheetView zoomScale="70" zoomScaleNormal="70" zoomScaleSheetLayoutView="90" workbookViewId="0">
      <selection activeCell="K29" sqref="K29"/>
    </sheetView>
  </sheetViews>
  <sheetFormatPr defaultColWidth="9.109375" defaultRowHeight="14.4" x14ac:dyDescent="0.3"/>
  <cols>
    <col min="1" max="1" width="41.6640625" style="118" customWidth="1"/>
    <col min="2" max="2" width="18" style="118" customWidth="1"/>
    <col min="3" max="3" width="26.88671875" style="118" customWidth="1"/>
    <col min="4" max="4" width="14.6640625" style="118" customWidth="1"/>
    <col min="5" max="9" width="14.33203125" style="118" customWidth="1"/>
    <col min="10" max="10" width="14.44140625" style="118" customWidth="1"/>
    <col min="11" max="11" width="30.44140625" style="118" customWidth="1"/>
    <col min="12" max="26" width="12.6640625" style="118" customWidth="1"/>
    <col min="27" max="16384" width="9.109375" style="118"/>
  </cols>
  <sheetData>
    <row r="1" spans="1:9" ht="30.75" customHeight="1" thickBot="1" x14ac:dyDescent="0.35">
      <c r="A1" s="102" t="s">
        <v>133</v>
      </c>
      <c r="B1" s="115"/>
      <c r="C1" s="115"/>
      <c r="D1" s="115"/>
      <c r="E1" s="103" t="s">
        <v>32</v>
      </c>
      <c r="F1" s="103"/>
      <c r="G1" s="103"/>
      <c r="H1" s="116"/>
      <c r="I1" s="117"/>
    </row>
    <row r="2" spans="1:9" ht="15" thickBot="1" x14ac:dyDescent="0.35">
      <c r="A2" s="119"/>
      <c r="B2" s="120"/>
      <c r="C2" s="121"/>
      <c r="D2" s="121"/>
      <c r="E2" s="121"/>
      <c r="F2" s="121"/>
      <c r="G2" s="121"/>
      <c r="H2" s="121"/>
      <c r="I2" s="122"/>
    </row>
    <row r="3" spans="1:9" ht="33" customHeight="1" thickBot="1" x14ac:dyDescent="0.35">
      <c r="A3" s="123" t="s">
        <v>33</v>
      </c>
      <c r="B3" s="124"/>
      <c r="C3" s="124"/>
      <c r="D3" s="125"/>
      <c r="E3" s="126">
        <f>'Pryse + Sensatiwiteitsanalise'!B19</f>
        <v>3393.75</v>
      </c>
      <c r="F3" s="125" t="s">
        <v>34</v>
      </c>
      <c r="G3" s="127"/>
      <c r="H3" s="127"/>
      <c r="I3" s="128"/>
    </row>
    <row r="4" spans="1:9" ht="15" thickBot="1" x14ac:dyDescent="0.35">
      <c r="A4" s="129"/>
      <c r="B4" s="130"/>
      <c r="C4" s="130"/>
      <c r="D4" s="131"/>
      <c r="E4" s="132"/>
      <c r="F4" s="133"/>
      <c r="G4" s="130"/>
      <c r="H4" s="134"/>
      <c r="I4" s="134"/>
    </row>
    <row r="5" spans="1:9" ht="15" thickBot="1" x14ac:dyDescent="0.35">
      <c r="A5" s="135" t="s">
        <v>35</v>
      </c>
      <c r="B5" s="130"/>
      <c r="C5" s="130"/>
      <c r="D5" s="136">
        <v>3.5</v>
      </c>
      <c r="E5" s="136">
        <v>4</v>
      </c>
      <c r="F5" s="136">
        <v>4.5</v>
      </c>
      <c r="G5" s="136">
        <v>5</v>
      </c>
      <c r="H5" s="136">
        <v>5.5</v>
      </c>
      <c r="I5" s="136">
        <v>6</v>
      </c>
    </row>
    <row r="6" spans="1:9" ht="15" thickBot="1" x14ac:dyDescent="0.35">
      <c r="A6" s="137" t="s">
        <v>36</v>
      </c>
      <c r="B6" s="138"/>
      <c r="C6" s="139"/>
      <c r="D6" s="140">
        <v>11825.625</v>
      </c>
      <c r="E6" s="140">
        <v>13515</v>
      </c>
      <c r="F6" s="140">
        <v>15204.375</v>
      </c>
      <c r="G6" s="140">
        <v>16893.75</v>
      </c>
      <c r="H6" s="140">
        <v>18583.125</v>
      </c>
      <c r="I6" s="140">
        <v>20272.5</v>
      </c>
    </row>
    <row r="7" spans="1:9" ht="15" thickBot="1" x14ac:dyDescent="0.35">
      <c r="A7" s="141"/>
      <c r="B7" s="142"/>
      <c r="C7" s="142"/>
      <c r="D7" s="143"/>
      <c r="E7" s="143"/>
      <c r="F7" s="143"/>
      <c r="G7" s="143"/>
      <c r="H7" s="143"/>
      <c r="I7" s="143"/>
    </row>
    <row r="8" spans="1:9" ht="15" thickBot="1" x14ac:dyDescent="0.35">
      <c r="A8" s="144" t="s">
        <v>37</v>
      </c>
      <c r="B8" s="145"/>
      <c r="C8" s="146"/>
      <c r="D8" s="147"/>
      <c r="E8" s="147"/>
      <c r="F8" s="147"/>
      <c r="G8" s="147"/>
      <c r="H8" s="147"/>
      <c r="I8" s="147"/>
    </row>
    <row r="9" spans="1:9" x14ac:dyDescent="0.3">
      <c r="A9" s="196" t="s">
        <v>38</v>
      </c>
      <c r="B9" s="148"/>
      <c r="C9" s="148"/>
      <c r="D9" s="149">
        <v>1405.216645</v>
      </c>
      <c r="E9" s="149">
        <v>1505.5892624999999</v>
      </c>
      <c r="F9" s="149">
        <v>1505.5892624999999</v>
      </c>
      <c r="G9" s="149">
        <v>1656.1481887499999</v>
      </c>
      <c r="H9" s="149">
        <v>1656.1481887499999</v>
      </c>
      <c r="I9" s="149">
        <v>1806.7071149999999</v>
      </c>
    </row>
    <row r="10" spans="1:9" x14ac:dyDescent="0.3">
      <c r="A10" s="197" t="s">
        <v>39</v>
      </c>
      <c r="B10" s="150"/>
      <c r="C10" s="150"/>
      <c r="D10" s="151">
        <v>5108.3949999999995</v>
      </c>
      <c r="E10" s="151">
        <v>5823.8799999999992</v>
      </c>
      <c r="F10" s="151">
        <v>6539.3649999999998</v>
      </c>
      <c r="G10" s="151">
        <v>7254.8499999999995</v>
      </c>
      <c r="H10" s="151">
        <v>7970.3349999999991</v>
      </c>
      <c r="I10" s="151">
        <v>8685.82</v>
      </c>
    </row>
    <row r="11" spans="1:9" x14ac:dyDescent="0.3">
      <c r="A11" s="197" t="s">
        <v>40</v>
      </c>
      <c r="B11" s="150"/>
      <c r="C11" s="150"/>
      <c r="D11" s="151">
        <v>800</v>
      </c>
      <c r="E11" s="151">
        <v>800</v>
      </c>
      <c r="F11" s="151">
        <v>800</v>
      </c>
      <c r="G11" s="151">
        <v>800</v>
      </c>
      <c r="H11" s="151">
        <v>800</v>
      </c>
      <c r="I11" s="151">
        <v>800</v>
      </c>
    </row>
    <row r="12" spans="1:9" x14ac:dyDescent="0.3">
      <c r="A12" s="197" t="s">
        <v>41</v>
      </c>
      <c r="B12" s="150"/>
      <c r="C12" s="150"/>
      <c r="D12" s="151">
        <v>1488.8967680000001</v>
      </c>
      <c r="E12" s="151">
        <v>1522.016768</v>
      </c>
      <c r="F12" s="151">
        <v>1555.1367679999998</v>
      </c>
      <c r="G12" s="151">
        <v>1588.256768</v>
      </c>
      <c r="H12" s="151">
        <v>1621.3767680000001</v>
      </c>
      <c r="I12" s="151">
        <v>1654.496768</v>
      </c>
    </row>
    <row r="13" spans="1:9" x14ac:dyDescent="0.3">
      <c r="A13" s="197" t="s">
        <v>42</v>
      </c>
      <c r="B13" s="150"/>
      <c r="C13" s="150"/>
      <c r="D13" s="151">
        <v>1339.0087333333331</v>
      </c>
      <c r="E13" s="151">
        <v>1343.7620666666667</v>
      </c>
      <c r="F13" s="151">
        <v>1348.5153999999998</v>
      </c>
      <c r="G13" s="151">
        <v>1353.2687333333333</v>
      </c>
      <c r="H13" s="151">
        <v>1358.0220666666664</v>
      </c>
      <c r="I13" s="151">
        <v>1362.7754</v>
      </c>
    </row>
    <row r="14" spans="1:9" x14ac:dyDescent="0.3">
      <c r="A14" s="197" t="s">
        <v>43</v>
      </c>
      <c r="B14" s="150"/>
      <c r="C14" s="150"/>
      <c r="D14" s="151">
        <v>1086.5</v>
      </c>
      <c r="E14" s="151">
        <v>1086.5</v>
      </c>
      <c r="F14" s="151">
        <v>1086.5</v>
      </c>
      <c r="G14" s="151">
        <v>1086.5</v>
      </c>
      <c r="H14" s="151">
        <v>1086.5</v>
      </c>
      <c r="I14" s="151">
        <v>1086.5</v>
      </c>
    </row>
    <row r="15" spans="1:9" x14ac:dyDescent="0.3">
      <c r="A15" s="197" t="s">
        <v>44</v>
      </c>
      <c r="B15" s="150"/>
      <c r="C15" s="150"/>
      <c r="D15" s="151">
        <v>327</v>
      </c>
      <c r="E15" s="151">
        <v>327</v>
      </c>
      <c r="F15" s="151">
        <v>327</v>
      </c>
      <c r="G15" s="151">
        <v>327</v>
      </c>
      <c r="H15" s="151">
        <v>327</v>
      </c>
      <c r="I15" s="151">
        <v>327</v>
      </c>
    </row>
    <row r="16" spans="1:9" x14ac:dyDescent="0.3">
      <c r="A16" s="197" t="s">
        <v>45</v>
      </c>
      <c r="B16" s="150"/>
      <c r="C16" s="150"/>
      <c r="D16" s="151"/>
      <c r="E16" s="151"/>
      <c r="F16" s="151"/>
      <c r="G16" s="151"/>
      <c r="H16" s="151"/>
      <c r="I16" s="151"/>
    </row>
    <row r="17" spans="1:11" x14ac:dyDescent="0.3">
      <c r="A17" s="197" t="s">
        <v>46</v>
      </c>
      <c r="B17" s="150"/>
      <c r="C17" s="150"/>
      <c r="D17" s="151"/>
      <c r="E17" s="151"/>
      <c r="F17" s="151"/>
      <c r="G17" s="151"/>
      <c r="H17" s="151"/>
      <c r="I17" s="151"/>
    </row>
    <row r="18" spans="1:11" x14ac:dyDescent="0.3">
      <c r="A18" s="197" t="s">
        <v>47</v>
      </c>
      <c r="B18" s="150"/>
      <c r="C18" s="150"/>
      <c r="D18" s="151">
        <v>1135.2911771910128</v>
      </c>
      <c r="E18" s="151">
        <v>1218.4067438746222</v>
      </c>
      <c r="F18" s="151">
        <v>1292.3834114620993</v>
      </c>
      <c r="G18" s="151">
        <v>1380.0684276937752</v>
      </c>
      <c r="H18" s="151">
        <v>1454.0450952812523</v>
      </c>
      <c r="I18" s="151">
        <v>1541.730111512928</v>
      </c>
    </row>
    <row r="19" spans="1:11" x14ac:dyDescent="0.3">
      <c r="A19" s="197" t="s">
        <v>48</v>
      </c>
      <c r="B19" s="150"/>
      <c r="C19" s="150"/>
      <c r="D19" s="151"/>
      <c r="E19" s="151"/>
      <c r="F19" s="151"/>
      <c r="G19" s="151"/>
      <c r="H19" s="151"/>
      <c r="I19" s="151"/>
    </row>
    <row r="20" spans="1:11" x14ac:dyDescent="0.3">
      <c r="A20" s="197" t="s">
        <v>49</v>
      </c>
      <c r="B20" s="150"/>
      <c r="C20" s="150"/>
      <c r="D20" s="151">
        <v>413.89687500000002</v>
      </c>
      <c r="E20" s="151">
        <v>473.02500000000003</v>
      </c>
      <c r="F20" s="151">
        <v>532.15312500000005</v>
      </c>
      <c r="G20" s="151">
        <v>591.28125</v>
      </c>
      <c r="H20" s="151">
        <v>650.40937500000007</v>
      </c>
      <c r="I20" s="151">
        <v>709.53750000000002</v>
      </c>
    </row>
    <row r="21" spans="1:11" x14ac:dyDescent="0.3">
      <c r="A21" s="197" t="s">
        <v>50</v>
      </c>
      <c r="B21" s="150"/>
      <c r="C21" s="150"/>
      <c r="D21" s="151">
        <v>200</v>
      </c>
      <c r="E21" s="151">
        <v>200</v>
      </c>
      <c r="F21" s="151">
        <v>200</v>
      </c>
      <c r="G21" s="151">
        <v>200</v>
      </c>
      <c r="H21" s="151">
        <v>200</v>
      </c>
      <c r="I21" s="151">
        <v>200</v>
      </c>
    </row>
    <row r="22" spans="1:11" x14ac:dyDescent="0.3">
      <c r="A22" s="197" t="s">
        <v>51</v>
      </c>
      <c r="B22" s="150"/>
      <c r="C22" s="150"/>
      <c r="D22" s="151">
        <v>300</v>
      </c>
      <c r="E22" s="151">
        <v>300</v>
      </c>
      <c r="F22" s="151">
        <v>300</v>
      </c>
      <c r="G22" s="151">
        <v>300</v>
      </c>
      <c r="H22" s="151">
        <v>300</v>
      </c>
      <c r="I22" s="151">
        <v>300</v>
      </c>
    </row>
    <row r="23" spans="1:11" x14ac:dyDescent="0.3">
      <c r="A23" s="197" t="s">
        <v>52</v>
      </c>
      <c r="B23" s="150"/>
      <c r="C23" s="150"/>
      <c r="D23" s="151"/>
      <c r="E23" s="151"/>
      <c r="F23" s="151"/>
      <c r="G23" s="151"/>
      <c r="H23" s="151"/>
      <c r="I23" s="151"/>
    </row>
    <row r="24" spans="1:11" x14ac:dyDescent="0.3">
      <c r="A24" s="197" t="s">
        <v>53</v>
      </c>
      <c r="B24" s="150"/>
      <c r="C24" s="150"/>
      <c r="D24" s="151"/>
      <c r="E24" s="151"/>
      <c r="F24" s="151"/>
      <c r="G24" s="151"/>
      <c r="H24" s="151"/>
      <c r="I24" s="151"/>
    </row>
    <row r="25" spans="1:11" ht="15" thickBot="1" x14ac:dyDescent="0.35">
      <c r="A25" s="197" t="s">
        <v>54</v>
      </c>
      <c r="B25" s="150"/>
      <c r="C25" s="150"/>
      <c r="D25" s="151">
        <v>1254.9879295638709</v>
      </c>
      <c r="E25" s="151">
        <v>1346.8665903360588</v>
      </c>
      <c r="F25" s="151">
        <v>1428.6428137022538</v>
      </c>
      <c r="G25" s="151">
        <v>1525.5726931774382</v>
      </c>
      <c r="H25" s="151">
        <v>1607.3489165436331</v>
      </c>
      <c r="I25" s="151">
        <v>1704.2787960188173</v>
      </c>
    </row>
    <row r="26" spans="1:11" ht="15" thickBot="1" x14ac:dyDescent="0.35">
      <c r="A26" s="152" t="s">
        <v>55</v>
      </c>
      <c r="B26" s="153"/>
      <c r="C26" s="154"/>
      <c r="D26" s="155">
        <f>SUM(D9:D25)</f>
        <v>14859.193128088216</v>
      </c>
      <c r="E26" s="155">
        <f t="shared" ref="E26:I26" si="0">SUM(E9:E25)</f>
        <v>15947.046431377345</v>
      </c>
      <c r="F26" s="155">
        <f t="shared" si="0"/>
        <v>16915.285780664351</v>
      </c>
      <c r="G26" s="155">
        <f t="shared" si="0"/>
        <v>18062.946060954546</v>
      </c>
      <c r="H26" s="155">
        <f t="shared" si="0"/>
        <v>19031.185410241549</v>
      </c>
      <c r="I26" s="155">
        <f t="shared" si="0"/>
        <v>20178.845690531743</v>
      </c>
    </row>
    <row r="27" spans="1:11" ht="15" thickBot="1" x14ac:dyDescent="0.35">
      <c r="A27" s="156"/>
      <c r="B27" s="157"/>
      <c r="C27" s="157"/>
      <c r="D27" s="158"/>
      <c r="E27" s="158"/>
      <c r="F27" s="158"/>
      <c r="G27" s="158"/>
      <c r="H27" s="158"/>
      <c r="I27" s="158"/>
    </row>
    <row r="28" spans="1:11" ht="15" thickBot="1" x14ac:dyDescent="0.35">
      <c r="A28" s="159" t="s">
        <v>56</v>
      </c>
      <c r="B28" s="160"/>
      <c r="C28" s="161"/>
      <c r="D28" s="162">
        <v>7499.1823569000007</v>
      </c>
      <c r="E28" s="155">
        <v>7499.1823569000007</v>
      </c>
      <c r="F28" s="155">
        <v>7499.1823569000007</v>
      </c>
      <c r="G28" s="155">
        <v>7499.1823569000007</v>
      </c>
      <c r="H28" s="155">
        <v>7499.1823569000007</v>
      </c>
      <c r="I28" s="155">
        <v>7499.1823569000007</v>
      </c>
    </row>
    <row r="29" spans="1:11" ht="15" thickBot="1" x14ac:dyDescent="0.35">
      <c r="A29" s="156"/>
      <c r="B29" s="157"/>
      <c r="C29" s="157"/>
      <c r="D29" s="158"/>
      <c r="E29" s="158"/>
      <c r="F29" s="158"/>
      <c r="G29" s="158"/>
      <c r="H29" s="158"/>
      <c r="I29" s="158"/>
    </row>
    <row r="30" spans="1:11" ht="15" thickBot="1" x14ac:dyDescent="0.35">
      <c r="A30" s="152" t="s">
        <v>57</v>
      </c>
      <c r="B30" s="153"/>
      <c r="C30" s="154"/>
      <c r="D30" s="155">
        <f>D26+D28</f>
        <v>22358.375484988217</v>
      </c>
      <c r="E30" s="155">
        <f t="shared" ref="E30:I30" si="1">E26+E28</f>
        <v>23446.228788277345</v>
      </c>
      <c r="F30" s="155">
        <f t="shared" si="1"/>
        <v>24414.468137564352</v>
      </c>
      <c r="G30" s="155">
        <f t="shared" si="1"/>
        <v>25562.128417854547</v>
      </c>
      <c r="H30" s="155">
        <f t="shared" si="1"/>
        <v>26530.36776714155</v>
      </c>
      <c r="I30" s="155">
        <f t="shared" si="1"/>
        <v>27678.028047431744</v>
      </c>
    </row>
    <row r="31" spans="1:11" ht="15" thickBot="1" x14ac:dyDescent="0.35">
      <c r="A31" s="163"/>
      <c r="B31" s="164"/>
      <c r="C31" s="164"/>
      <c r="D31" s="165"/>
      <c r="E31" s="165"/>
      <c r="F31" s="165"/>
      <c r="G31" s="165"/>
      <c r="H31" s="165"/>
      <c r="I31" s="165"/>
    </row>
    <row r="32" spans="1:11" ht="15" thickBot="1" x14ac:dyDescent="0.35">
      <c r="A32" s="152" t="s">
        <v>58</v>
      </c>
      <c r="B32" s="166"/>
      <c r="C32" s="167"/>
      <c r="D32" s="155">
        <f>D30/D5</f>
        <v>6388.1072814252047</v>
      </c>
      <c r="E32" s="155">
        <f t="shared" ref="E32:I32" si="2">E30/E5</f>
        <v>5861.5571970693363</v>
      </c>
      <c r="F32" s="155">
        <f t="shared" si="2"/>
        <v>5425.4373639031892</v>
      </c>
      <c r="G32" s="155">
        <f t="shared" si="2"/>
        <v>5112.4256835709093</v>
      </c>
      <c r="H32" s="155">
        <f t="shared" si="2"/>
        <v>4823.7032303893729</v>
      </c>
      <c r="I32" s="155">
        <f t="shared" si="2"/>
        <v>4613.0046745719574</v>
      </c>
      <c r="K32" s="168"/>
    </row>
    <row r="33" spans="1:10" ht="15" thickBot="1" x14ac:dyDescent="0.35">
      <c r="A33" s="141"/>
      <c r="B33" s="142"/>
      <c r="C33" s="142"/>
      <c r="D33" s="165"/>
      <c r="E33" s="165"/>
      <c r="F33" s="165"/>
      <c r="G33" s="165"/>
      <c r="H33" s="165"/>
      <c r="I33" s="165"/>
    </row>
    <row r="34" spans="1:10" ht="15" thickBot="1" x14ac:dyDescent="0.35">
      <c r="A34" s="169" t="s">
        <v>59</v>
      </c>
      <c r="B34" s="138"/>
      <c r="C34" s="138"/>
      <c r="D34" s="155">
        <f>'Pryse + Sensatiwiteitsanalise'!$D$4</f>
        <v>406.25</v>
      </c>
      <c r="E34" s="155">
        <f>'Pryse + Sensatiwiteitsanalise'!$D$4</f>
        <v>406.25</v>
      </c>
      <c r="F34" s="155">
        <f>'Pryse + Sensatiwiteitsanalise'!$D$4</f>
        <v>406.25</v>
      </c>
      <c r="G34" s="155">
        <f>'Pryse + Sensatiwiteitsanalise'!$D$4</f>
        <v>406.25</v>
      </c>
      <c r="H34" s="155">
        <f>'Pryse + Sensatiwiteitsanalise'!$D$4</f>
        <v>406.25</v>
      </c>
      <c r="I34" s="155">
        <f>'Pryse + Sensatiwiteitsanalise'!$D$4</f>
        <v>406.25</v>
      </c>
    </row>
    <row r="35" spans="1:10" ht="15" thickBot="1" x14ac:dyDescent="0.35">
      <c r="A35" s="141"/>
      <c r="B35" s="142"/>
      <c r="C35" s="142"/>
      <c r="D35" s="165"/>
      <c r="E35" s="165"/>
      <c r="F35" s="165"/>
      <c r="G35" s="165"/>
      <c r="H35" s="165"/>
      <c r="I35" s="165"/>
    </row>
    <row r="36" spans="1:10" ht="15" thickBot="1" x14ac:dyDescent="0.35">
      <c r="A36" s="170" t="s">
        <v>60</v>
      </c>
      <c r="B36" s="171"/>
      <c r="C36" s="172"/>
      <c r="D36" s="173">
        <f>D32+D34</f>
        <v>6794.3572814252047</v>
      </c>
      <c r="E36" s="173">
        <f t="shared" ref="E36:I36" si="3">E32+E34</f>
        <v>6267.8071970693363</v>
      </c>
      <c r="F36" s="173">
        <f t="shared" si="3"/>
        <v>5831.6873639031892</v>
      </c>
      <c r="G36" s="173">
        <f t="shared" si="3"/>
        <v>5518.6756835709093</v>
      </c>
      <c r="H36" s="173">
        <f t="shared" si="3"/>
        <v>5229.9532303893729</v>
      </c>
      <c r="I36" s="173">
        <f t="shared" si="3"/>
        <v>5019.2546745719574</v>
      </c>
    </row>
    <row r="37" spans="1:10" ht="15" thickBot="1" x14ac:dyDescent="0.35">
      <c r="A37" s="174" t="s">
        <v>61</v>
      </c>
      <c r="B37" s="175"/>
      <c r="C37" s="176"/>
      <c r="D37" s="173">
        <f>'Pryse + Sensatiwiteitsanalise'!B4</f>
        <v>3800</v>
      </c>
      <c r="E37" s="173">
        <f>$D$37</f>
        <v>3800</v>
      </c>
      <c r="F37" s="173">
        <f>$D$37</f>
        <v>3800</v>
      </c>
      <c r="G37" s="173">
        <f>$D$37</f>
        <v>3800</v>
      </c>
      <c r="H37" s="173">
        <f>$D$37</f>
        <v>3800</v>
      </c>
      <c r="I37" s="173">
        <f>$D$37</f>
        <v>3800</v>
      </c>
    </row>
    <row r="38" spans="1:10" ht="15" thickBot="1" x14ac:dyDescent="0.35">
      <c r="D38" s="177"/>
      <c r="E38" s="177"/>
      <c r="F38" s="177"/>
      <c r="G38" s="177"/>
      <c r="H38" s="177"/>
      <c r="I38" s="177"/>
    </row>
    <row r="39" spans="1:10" s="168" customFormat="1" x14ac:dyDescent="0.3">
      <c r="A39" s="104" t="s">
        <v>62</v>
      </c>
      <c r="B39" s="178"/>
      <c r="C39" s="178"/>
      <c r="D39" s="105">
        <f t="shared" ref="D39:I39" si="4">D6-D26</f>
        <v>-3033.5681280882163</v>
      </c>
      <c r="E39" s="106">
        <f t="shared" si="4"/>
        <v>-2432.0464313773446</v>
      </c>
      <c r="F39" s="105">
        <f t="shared" si="4"/>
        <v>-1710.9107806643515</v>
      </c>
      <c r="G39" s="106">
        <f t="shared" si="4"/>
        <v>-1169.1960609545458</v>
      </c>
      <c r="H39" s="105">
        <f t="shared" si="4"/>
        <v>-448.06041024154911</v>
      </c>
      <c r="I39" s="107">
        <f t="shared" si="4"/>
        <v>93.654309468256542</v>
      </c>
    </row>
    <row r="40" spans="1:10" s="168" customFormat="1" ht="15" thickBot="1" x14ac:dyDescent="0.35">
      <c r="A40" s="108" t="s">
        <v>63</v>
      </c>
      <c r="B40" s="179"/>
      <c r="C40" s="179"/>
      <c r="D40" s="109">
        <f t="shared" ref="D40:I40" si="5">D6-D30</f>
        <v>-10532.750484988217</v>
      </c>
      <c r="E40" s="110">
        <f t="shared" si="5"/>
        <v>-9931.2287882773453</v>
      </c>
      <c r="F40" s="109">
        <f t="shared" si="5"/>
        <v>-9210.0931375643522</v>
      </c>
      <c r="G40" s="110">
        <f t="shared" si="5"/>
        <v>-8668.3784178545466</v>
      </c>
      <c r="H40" s="109">
        <f t="shared" si="5"/>
        <v>-7947.2427671415498</v>
      </c>
      <c r="I40" s="111">
        <f t="shared" si="5"/>
        <v>-7405.5280474317442</v>
      </c>
    </row>
    <row r="41" spans="1:10" x14ac:dyDescent="0.3">
      <c r="A41" s="112" t="s">
        <v>132</v>
      </c>
      <c r="B41" s="180"/>
      <c r="C41" s="180"/>
      <c r="D41" s="180"/>
      <c r="E41" s="180"/>
      <c r="F41" s="180"/>
      <c r="G41" s="180"/>
      <c r="H41" s="180"/>
      <c r="I41" s="181"/>
      <c r="J41" s="182"/>
    </row>
    <row r="42" spans="1:10" x14ac:dyDescent="0.3">
      <c r="A42" s="113" t="s">
        <v>64</v>
      </c>
      <c r="B42" s="183"/>
      <c r="C42" s="183"/>
      <c r="D42" s="183"/>
      <c r="E42" s="183"/>
      <c r="F42" s="183"/>
      <c r="G42" s="183"/>
      <c r="H42" s="183"/>
      <c r="I42" s="184"/>
      <c r="J42" s="182"/>
    </row>
    <row r="43" spans="1:10" ht="15" thickBot="1" x14ac:dyDescent="0.35">
      <c r="A43" s="114" t="s">
        <v>65</v>
      </c>
      <c r="B43" s="185"/>
      <c r="C43" s="185"/>
      <c r="D43" s="185"/>
      <c r="E43" s="185"/>
      <c r="F43" s="185"/>
      <c r="G43" s="185"/>
      <c r="H43" s="185"/>
      <c r="I43" s="186"/>
      <c r="J43" s="182"/>
    </row>
    <row r="44" spans="1:10" x14ac:dyDescent="0.3">
      <c r="A44" s="187" t="s">
        <v>66</v>
      </c>
      <c r="B44" s="188"/>
      <c r="C44" s="188"/>
      <c r="D44" s="188"/>
      <c r="E44" s="188"/>
      <c r="F44" s="188"/>
      <c r="G44" s="188"/>
      <c r="H44" s="188"/>
      <c r="I44" s="189"/>
    </row>
    <row r="45" spans="1:10" x14ac:dyDescent="0.3">
      <c r="A45" s="190"/>
      <c r="B45" s="191"/>
      <c r="C45" s="191"/>
      <c r="D45" s="191"/>
      <c r="E45" s="191"/>
      <c r="F45" s="191"/>
      <c r="G45" s="191"/>
      <c r="H45" s="191"/>
      <c r="I45" s="192"/>
    </row>
    <row r="46" spans="1:10" x14ac:dyDescent="0.3">
      <c r="A46" s="190"/>
      <c r="B46" s="191"/>
      <c r="C46" s="191"/>
      <c r="D46" s="191"/>
      <c r="E46" s="191"/>
      <c r="F46" s="191"/>
      <c r="G46" s="191"/>
      <c r="H46" s="191"/>
      <c r="I46" s="192"/>
    </row>
    <row r="47" spans="1:10" ht="15" thickBot="1" x14ac:dyDescent="0.35">
      <c r="A47" s="193"/>
      <c r="B47" s="194"/>
      <c r="C47" s="194"/>
      <c r="D47" s="194"/>
      <c r="E47" s="194"/>
      <c r="F47" s="194"/>
      <c r="G47" s="194"/>
      <c r="H47" s="194"/>
      <c r="I47" s="195"/>
    </row>
  </sheetData>
  <mergeCells count="12">
    <mergeCell ref="A39:C39"/>
    <mergeCell ref="A40:C40"/>
    <mergeCell ref="A44:I47"/>
    <mergeCell ref="A1:D1"/>
    <mergeCell ref="E1:G1"/>
    <mergeCell ref="A32:C32"/>
    <mergeCell ref="A36:C36"/>
    <mergeCell ref="A30:C30"/>
    <mergeCell ref="A3:C3"/>
    <mergeCell ref="A8:C8"/>
    <mergeCell ref="A26:C26"/>
    <mergeCell ref="A28:C28"/>
  </mergeCells>
  <phoneticPr fontId="0" type="noConversion"/>
  <conditionalFormatting sqref="D39:I40">
    <cfRule type="colorScale" priority="1">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onditionalFormatting>
  <pageMargins left="0.35433070866141736" right="0.35433070866141736" top="0.59055118110236227" bottom="0.59055118110236227" header="0.31496062992125984" footer="0.31496062992125984"/>
  <pageSetup paperSize="9" scale="59" fitToHeight="0" orientation="portrait" horizontalDpi="300" verticalDpi="300" r:id="rId1"/>
  <headerFooter alignWithMargins="0">
    <oddHeader>&amp;F</oddHeader>
    <oddFooter>&amp;A&amp;RPage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47"/>
  <sheetViews>
    <sheetView zoomScale="70" zoomScaleNormal="70" workbookViewId="0">
      <selection activeCell="D14" sqref="D14"/>
    </sheetView>
  </sheetViews>
  <sheetFormatPr defaultColWidth="9.109375" defaultRowHeight="14.4" x14ac:dyDescent="0.3"/>
  <cols>
    <col min="1" max="1" width="85.6640625" style="118" customWidth="1"/>
    <col min="2" max="2" width="18" style="118" customWidth="1"/>
    <col min="3" max="3" width="16.109375" style="118" customWidth="1"/>
    <col min="4" max="8" width="14.33203125" style="118" customWidth="1"/>
    <col min="9" max="9" width="14.44140625" style="118" customWidth="1"/>
    <col min="10" max="12" width="12.6640625" style="118" hidden="1" customWidth="1"/>
    <col min="13" max="25" width="12.6640625" style="118" customWidth="1"/>
    <col min="26" max="16384" width="9.109375" style="118"/>
  </cols>
  <sheetData>
    <row r="1" spans="1:12" ht="30.75" customHeight="1" thickBot="1" x14ac:dyDescent="0.35">
      <c r="A1" s="198" t="s">
        <v>67</v>
      </c>
      <c r="B1" s="199"/>
      <c r="C1" s="199"/>
      <c r="D1" s="103" t="s">
        <v>68</v>
      </c>
      <c r="E1" s="103"/>
      <c r="F1" s="103"/>
      <c r="G1" s="116"/>
      <c r="H1" s="117"/>
    </row>
    <row r="2" spans="1:12" ht="15" thickBot="1" x14ac:dyDescent="0.35">
      <c r="A2" s="119"/>
      <c r="B2" s="120"/>
      <c r="C2" s="121"/>
      <c r="D2" s="121"/>
      <c r="E2" s="121"/>
      <c r="F2" s="121"/>
      <c r="G2" s="121"/>
      <c r="H2" s="122"/>
    </row>
    <row r="3" spans="1:12" ht="31.2" customHeight="1" thickBot="1" x14ac:dyDescent="0.35">
      <c r="A3" s="123" t="s">
        <v>33</v>
      </c>
      <c r="B3" s="124"/>
      <c r="C3" s="125"/>
      <c r="D3" s="126">
        <f>'Pryse + Sensatiwiteitsanalise'!B19</f>
        <v>3393.75</v>
      </c>
      <c r="E3" s="125" t="s">
        <v>34</v>
      </c>
      <c r="F3" s="127"/>
      <c r="G3" s="127"/>
      <c r="H3" s="128"/>
    </row>
    <row r="4" spans="1:12" ht="15" thickBot="1" x14ac:dyDescent="0.35">
      <c r="A4" s="129"/>
      <c r="B4" s="130"/>
      <c r="C4" s="131"/>
      <c r="D4" s="132"/>
      <c r="E4" s="133"/>
      <c r="F4" s="130"/>
      <c r="G4" s="134"/>
      <c r="H4" s="134"/>
    </row>
    <row r="5" spans="1:12" ht="15" thickBot="1" x14ac:dyDescent="0.35">
      <c r="A5" s="135" t="s">
        <v>35</v>
      </c>
      <c r="B5" s="130"/>
      <c r="C5" s="136">
        <v>3.5</v>
      </c>
      <c r="D5" s="136">
        <v>4</v>
      </c>
      <c r="E5" s="136">
        <v>4.5</v>
      </c>
      <c r="F5" s="136">
        <v>5</v>
      </c>
      <c r="G5" s="136">
        <v>5.5</v>
      </c>
      <c r="H5" s="136">
        <v>6</v>
      </c>
      <c r="J5" s="200"/>
    </row>
    <row r="6" spans="1:12" ht="15" thickBot="1" x14ac:dyDescent="0.35">
      <c r="A6" s="137" t="s">
        <v>36</v>
      </c>
      <c r="B6" s="138"/>
      <c r="C6" s="140">
        <v>12451.81875</v>
      </c>
      <c r="D6" s="140">
        <v>14230.650000000001</v>
      </c>
      <c r="E6" s="140">
        <v>16009.481250000001</v>
      </c>
      <c r="F6" s="140">
        <v>17788.3125</v>
      </c>
      <c r="G6" s="140">
        <v>19567.143749999999</v>
      </c>
      <c r="H6" s="140">
        <v>21345.975000000002</v>
      </c>
      <c r="J6" s="201"/>
    </row>
    <row r="7" spans="1:12" ht="15" thickBot="1" x14ac:dyDescent="0.35">
      <c r="A7" s="141"/>
      <c r="B7" s="142"/>
      <c r="C7" s="143"/>
      <c r="D7" s="143"/>
      <c r="E7" s="143"/>
      <c r="F7" s="143"/>
      <c r="G7" s="143"/>
      <c r="H7" s="143"/>
      <c r="J7" s="202" t="s">
        <v>69</v>
      </c>
      <c r="K7" s="202"/>
      <c r="L7" s="202"/>
    </row>
    <row r="8" spans="1:12" ht="15" thickBot="1" x14ac:dyDescent="0.35">
      <c r="A8" s="203" t="s">
        <v>37</v>
      </c>
      <c r="B8" s="204"/>
      <c r="C8" s="147"/>
      <c r="D8" s="147"/>
      <c r="E8" s="147"/>
      <c r="F8" s="147"/>
      <c r="G8" s="147"/>
      <c r="H8" s="147"/>
      <c r="J8" s="205" t="s">
        <v>70</v>
      </c>
      <c r="K8" s="205" t="s">
        <v>71</v>
      </c>
      <c r="L8" s="205" t="s">
        <v>72</v>
      </c>
    </row>
    <row r="9" spans="1:12" x14ac:dyDescent="0.3">
      <c r="A9" s="206" t="str">
        <f>'W-Mielie '!A9</f>
        <v>Saad / Seed</v>
      </c>
      <c r="B9" s="206"/>
      <c r="C9" s="207">
        <v>2122.1183322499996</v>
      </c>
      <c r="D9" s="149">
        <v>2273.6982131249997</v>
      </c>
      <c r="E9" s="149">
        <v>2273.6982131249997</v>
      </c>
      <c r="F9" s="149">
        <v>2501.0680344374996</v>
      </c>
      <c r="G9" s="149">
        <v>2501.0680344374996</v>
      </c>
      <c r="H9" s="149">
        <v>2728.4378557499995</v>
      </c>
      <c r="J9" s="208">
        <f>C5</f>
        <v>3.5</v>
      </c>
      <c r="K9" s="208">
        <f>C26</f>
        <v>15739.642403081767</v>
      </c>
      <c r="L9" s="208">
        <f>C28</f>
        <v>6856.4322200999995</v>
      </c>
    </row>
    <row r="10" spans="1:12" x14ac:dyDescent="0.3">
      <c r="A10" s="206" t="str">
        <f>'W-Mielie '!A10</f>
        <v>Kunsmis / Fertiliser</v>
      </c>
      <c r="B10" s="206"/>
      <c r="C10" s="209">
        <v>5108.3949999999995</v>
      </c>
      <c r="D10" s="151">
        <v>5823.8799999999992</v>
      </c>
      <c r="E10" s="151">
        <v>6539.3649999999998</v>
      </c>
      <c r="F10" s="151">
        <v>7254.8499999999995</v>
      </c>
      <c r="G10" s="151">
        <v>7970.3349999999991</v>
      </c>
      <c r="H10" s="151">
        <v>8685.82</v>
      </c>
      <c r="J10" s="208">
        <f>D5</f>
        <v>4</v>
      </c>
      <c r="K10" s="208">
        <f>D26</f>
        <v>16892.25052655835</v>
      </c>
      <c r="L10" s="208">
        <f>D28</f>
        <v>6856.4322200999995</v>
      </c>
    </row>
    <row r="11" spans="1:12" x14ac:dyDescent="0.3">
      <c r="A11" s="206" t="str">
        <f>'W-Mielie '!A11</f>
        <v>Kalk / Lime</v>
      </c>
      <c r="B11" s="206"/>
      <c r="C11" s="209">
        <v>800</v>
      </c>
      <c r="D11" s="151">
        <v>800</v>
      </c>
      <c r="E11" s="151">
        <v>800</v>
      </c>
      <c r="F11" s="151">
        <v>800</v>
      </c>
      <c r="G11" s="151">
        <v>800</v>
      </c>
      <c r="H11" s="151">
        <v>800</v>
      </c>
      <c r="J11" s="208">
        <f>E5</f>
        <v>4.5</v>
      </c>
      <c r="K11" s="208">
        <f>E26</f>
        <v>17864.221048364045</v>
      </c>
      <c r="L11" s="208">
        <f>E28</f>
        <v>6856.4322200999995</v>
      </c>
    </row>
    <row r="12" spans="1:12" x14ac:dyDescent="0.3">
      <c r="A12" s="206" t="str">
        <f>'W-Mielie '!A12</f>
        <v>Brandstof / Fuel</v>
      </c>
      <c r="B12" s="206"/>
      <c r="C12" s="209">
        <v>1488.8967680000001</v>
      </c>
      <c r="D12" s="151">
        <v>1522.016768</v>
      </c>
      <c r="E12" s="151">
        <v>1555.1367679999998</v>
      </c>
      <c r="F12" s="151">
        <v>1588.256768</v>
      </c>
      <c r="G12" s="151">
        <v>1621.3767680000001</v>
      </c>
      <c r="H12" s="151">
        <v>1654.496768</v>
      </c>
      <c r="J12" s="208">
        <f>F5</f>
        <v>5</v>
      </c>
      <c r="K12" s="208">
        <f>F26</f>
        <v>19107.147972676077</v>
      </c>
      <c r="L12" s="208">
        <f>F28</f>
        <v>6856.4322200999995</v>
      </c>
    </row>
    <row r="13" spans="1:12" x14ac:dyDescent="0.3">
      <c r="A13" s="206" t="str">
        <f>'W-Mielie '!A13</f>
        <v>Reparasie / Reparation</v>
      </c>
      <c r="B13" s="206"/>
      <c r="C13" s="209">
        <v>1339.0087333333331</v>
      </c>
      <c r="D13" s="151">
        <v>1343.7620666666667</v>
      </c>
      <c r="E13" s="151">
        <v>1348.5153999999998</v>
      </c>
      <c r="F13" s="151">
        <v>1353.2687333333333</v>
      </c>
      <c r="G13" s="151">
        <v>1358.0220666666664</v>
      </c>
      <c r="H13" s="151">
        <v>1362.7754</v>
      </c>
      <c r="J13" s="208">
        <f>G5</f>
        <v>5.5</v>
      </c>
      <c r="K13" s="208">
        <f>G26</f>
        <v>20079.118494481765</v>
      </c>
      <c r="L13" s="208">
        <f>G28</f>
        <v>6856.4322200999995</v>
      </c>
    </row>
    <row r="14" spans="1:12" x14ac:dyDescent="0.3">
      <c r="A14" s="206" t="str">
        <f>'W-Mielie '!A14</f>
        <v>Onkruiddoders / Herbicide</v>
      </c>
      <c r="B14" s="206"/>
      <c r="C14" s="209">
        <v>1086.5</v>
      </c>
      <c r="D14" s="151">
        <v>1086.5</v>
      </c>
      <c r="E14" s="151">
        <v>1086.5</v>
      </c>
      <c r="F14" s="151">
        <v>1086.5</v>
      </c>
      <c r="G14" s="151">
        <v>1086.5</v>
      </c>
      <c r="H14" s="151">
        <v>1086.5</v>
      </c>
      <c r="J14" s="208">
        <f>H5</f>
        <v>6</v>
      </c>
      <c r="K14" s="208">
        <f>H26</f>
        <v>21322.045418793794</v>
      </c>
      <c r="L14" s="208">
        <f>H28</f>
        <v>6856.4322200999995</v>
      </c>
    </row>
    <row r="15" spans="1:12" x14ac:dyDescent="0.3">
      <c r="A15" s="206" t="str">
        <f>'W-Mielie '!A15</f>
        <v>Plaagdoder / Pesticides</v>
      </c>
      <c r="B15" s="206"/>
      <c r="C15" s="209">
        <v>327</v>
      </c>
      <c r="D15" s="151">
        <v>327</v>
      </c>
      <c r="E15" s="151">
        <v>327</v>
      </c>
      <c r="F15" s="151">
        <v>327</v>
      </c>
      <c r="G15" s="151">
        <v>327</v>
      </c>
      <c r="H15" s="151">
        <v>327</v>
      </c>
      <c r="J15" s="210"/>
      <c r="K15" s="211"/>
    </row>
    <row r="16" spans="1:12" x14ac:dyDescent="0.3">
      <c r="A16" s="206" t="str">
        <f>'W-Mielie '!A16</f>
        <v>Insetversekering / Input insurance</v>
      </c>
      <c r="B16" s="206"/>
      <c r="C16" s="209"/>
      <c r="D16" s="151"/>
      <c r="E16" s="151"/>
      <c r="F16" s="151"/>
      <c r="G16" s="151"/>
      <c r="H16" s="151"/>
      <c r="J16" s="210"/>
      <c r="K16" s="211"/>
    </row>
    <row r="17" spans="1:11" x14ac:dyDescent="0.3">
      <c r="A17" s="206" t="str">
        <f>'W-Mielie '!A17</f>
        <v>Besproeiingskoste / Irrigation cost</v>
      </c>
      <c r="B17" s="206"/>
      <c r="C17" s="209"/>
      <c r="D17" s="151"/>
      <c r="E17" s="151"/>
      <c r="F17" s="151"/>
      <c r="G17" s="151"/>
      <c r="H17" s="151"/>
      <c r="J17" s="210"/>
      <c r="K17" s="211"/>
    </row>
    <row r="18" spans="1:11" x14ac:dyDescent="0.3">
      <c r="A18" s="206" t="str">
        <f>'W-Mielie '!A18</f>
        <v>Graanprysverskansing / Grain hedging</v>
      </c>
      <c r="B18" s="206"/>
      <c r="C18" s="209">
        <v>1202.5603946544381</v>
      </c>
      <c r="D18" s="151">
        <v>1290.6234423624676</v>
      </c>
      <c r="E18" s="151">
        <v>1364.8851837897237</v>
      </c>
      <c r="F18" s="151">
        <v>1459.8488846381399</v>
      </c>
      <c r="G18" s="151">
        <v>1534.1106260653958</v>
      </c>
      <c r="H18" s="151">
        <v>1629.074326913812</v>
      </c>
      <c r="J18" s="210"/>
      <c r="K18" s="211"/>
    </row>
    <row r="19" spans="1:11" x14ac:dyDescent="0.3">
      <c r="A19" s="206" t="str">
        <f>'W-Mielie '!A19</f>
        <v>Kontrakstroop / Contract Harvesting</v>
      </c>
      <c r="B19" s="206"/>
      <c r="C19" s="209"/>
      <c r="D19" s="151"/>
      <c r="E19" s="151"/>
      <c r="F19" s="151"/>
      <c r="G19" s="151"/>
      <c r="H19" s="151"/>
      <c r="J19" s="210"/>
      <c r="K19" s="211"/>
    </row>
    <row r="20" spans="1:11" x14ac:dyDescent="0.3">
      <c r="A20" s="206" t="str">
        <f>'W-Mielie '!A20</f>
        <v>Oesversekering / Harvest insurance</v>
      </c>
      <c r="B20" s="206"/>
      <c r="C20" s="209">
        <v>435.81365625000007</v>
      </c>
      <c r="D20" s="151">
        <v>498.0727500000001</v>
      </c>
      <c r="E20" s="151">
        <v>560.33184375000008</v>
      </c>
      <c r="F20" s="151">
        <v>622.59093750000011</v>
      </c>
      <c r="G20" s="151">
        <v>684.85003125000003</v>
      </c>
      <c r="H20" s="151">
        <v>747.10912500000018</v>
      </c>
      <c r="J20" s="210"/>
      <c r="K20" s="211"/>
    </row>
    <row r="21" spans="1:11" x14ac:dyDescent="0.3">
      <c r="A21" s="206" t="str">
        <f>'W-Mielie '!A21</f>
        <v>Lugspuit / Aerial spray</v>
      </c>
      <c r="B21" s="206"/>
      <c r="C21" s="209">
        <v>200</v>
      </c>
      <c r="D21" s="151">
        <v>200</v>
      </c>
      <c r="E21" s="151">
        <v>200</v>
      </c>
      <c r="F21" s="151">
        <v>200</v>
      </c>
      <c r="G21" s="151">
        <v>200</v>
      </c>
      <c r="H21" s="151">
        <v>200</v>
      </c>
      <c r="J21" s="210"/>
      <c r="K21" s="211"/>
    </row>
    <row r="22" spans="1:11" x14ac:dyDescent="0.3">
      <c r="A22" s="206" t="str">
        <f>'W-Mielie '!A22</f>
        <v>Losarbeid / Casual labour</v>
      </c>
      <c r="B22" s="206"/>
      <c r="C22" s="209">
        <v>300</v>
      </c>
      <c r="D22" s="151">
        <v>300</v>
      </c>
      <c r="E22" s="151">
        <v>300</v>
      </c>
      <c r="F22" s="151">
        <v>300</v>
      </c>
      <c r="G22" s="151">
        <v>300</v>
      </c>
      <c r="H22" s="151">
        <v>300</v>
      </c>
      <c r="J22" s="210"/>
      <c r="K22" s="211"/>
    </row>
    <row r="23" spans="1:11" x14ac:dyDescent="0.3">
      <c r="A23" s="206" t="str">
        <f>'W-Mielie '!A23</f>
        <v>Droogkoste / Drying cost</v>
      </c>
      <c r="B23" s="206"/>
      <c r="C23" s="209"/>
      <c r="D23" s="151"/>
      <c r="E23" s="151"/>
      <c r="F23" s="151"/>
      <c r="G23" s="151"/>
      <c r="H23" s="151"/>
      <c r="J23" s="210"/>
      <c r="K23" s="211"/>
    </row>
    <row r="24" spans="1:11" x14ac:dyDescent="0.3">
      <c r="A24" s="206" t="str">
        <f>'W-Mielie '!A24</f>
        <v>Verpakking en Pakmateriaal / Packaging and packaging material</v>
      </c>
      <c r="B24" s="206"/>
      <c r="C24" s="209"/>
      <c r="D24" s="151"/>
      <c r="E24" s="151"/>
      <c r="F24" s="151"/>
      <c r="G24" s="151"/>
      <c r="H24" s="151"/>
      <c r="J24" s="210"/>
      <c r="K24" s="211"/>
    </row>
    <row r="25" spans="1:11" ht="15" thickBot="1" x14ac:dyDescent="0.35">
      <c r="A25" s="206" t="str">
        <f>'W-Mielie '!A25</f>
        <v>Produksiekrediet rente / Interest on production R/ha</v>
      </c>
      <c r="B25" s="206"/>
      <c r="C25" s="209">
        <v>1329.3495185939969</v>
      </c>
      <c r="D25" s="151">
        <v>1426.6972864042191</v>
      </c>
      <c r="E25" s="151">
        <v>1508.7886396993208</v>
      </c>
      <c r="F25" s="151">
        <v>1613.764614767103</v>
      </c>
      <c r="G25" s="151">
        <v>1695.8559680622045</v>
      </c>
      <c r="H25" s="151">
        <v>1800.8319431299867</v>
      </c>
      <c r="J25" s="210"/>
      <c r="K25" s="211"/>
    </row>
    <row r="26" spans="1:11" ht="15" thickBot="1" x14ac:dyDescent="0.35">
      <c r="A26" s="212" t="s">
        <v>55</v>
      </c>
      <c r="B26" s="212"/>
      <c r="C26" s="213">
        <f t="shared" ref="C26:H26" si="0">SUM(C9:C25)</f>
        <v>15739.642403081767</v>
      </c>
      <c r="D26" s="155">
        <f t="shared" si="0"/>
        <v>16892.25052655835</v>
      </c>
      <c r="E26" s="155">
        <f t="shared" si="0"/>
        <v>17864.221048364045</v>
      </c>
      <c r="F26" s="155">
        <f t="shared" si="0"/>
        <v>19107.147972676077</v>
      </c>
      <c r="G26" s="155">
        <f t="shared" si="0"/>
        <v>20079.118494481765</v>
      </c>
      <c r="H26" s="155">
        <f t="shared" si="0"/>
        <v>21322.045418793794</v>
      </c>
      <c r="J26" s="210"/>
      <c r="K26" s="211"/>
    </row>
    <row r="27" spans="1:11" ht="15" thickBot="1" x14ac:dyDescent="0.35">
      <c r="A27" s="156"/>
      <c r="B27" s="157"/>
      <c r="C27" s="158"/>
      <c r="D27" s="158"/>
      <c r="E27" s="158"/>
      <c r="F27" s="158"/>
      <c r="G27" s="158"/>
      <c r="H27" s="158"/>
    </row>
    <row r="28" spans="1:11" ht="15" thickBot="1" x14ac:dyDescent="0.35">
      <c r="A28" s="159" t="s">
        <v>56</v>
      </c>
      <c r="B28" s="160"/>
      <c r="C28" s="162">
        <v>6856.4322200999995</v>
      </c>
      <c r="D28" s="155">
        <v>6856.4322200999995</v>
      </c>
      <c r="E28" s="155">
        <v>6856.4322200999995</v>
      </c>
      <c r="F28" s="155">
        <v>6856.4322200999995</v>
      </c>
      <c r="G28" s="155">
        <v>6856.4322200999995</v>
      </c>
      <c r="H28" s="155">
        <v>6856.4322200999995</v>
      </c>
    </row>
    <row r="29" spans="1:11" ht="15" thickBot="1" x14ac:dyDescent="0.35">
      <c r="A29" s="156"/>
      <c r="B29" s="157"/>
      <c r="C29" s="158"/>
      <c r="D29" s="158"/>
      <c r="E29" s="158"/>
      <c r="F29" s="158"/>
      <c r="G29" s="158"/>
      <c r="H29" s="158"/>
    </row>
    <row r="30" spans="1:11" ht="15" thickBot="1" x14ac:dyDescent="0.35">
      <c r="A30" s="152" t="s">
        <v>57</v>
      </c>
      <c r="B30" s="153"/>
      <c r="C30" s="155">
        <f>C26+C28</f>
        <v>22596.074623181768</v>
      </c>
      <c r="D30" s="155">
        <f t="shared" ref="D30:H30" si="1">D26+D28</f>
        <v>23748.682746658349</v>
      </c>
      <c r="E30" s="155">
        <f t="shared" si="1"/>
        <v>24720.653268464044</v>
      </c>
      <c r="F30" s="155">
        <f t="shared" si="1"/>
        <v>25963.580192776077</v>
      </c>
      <c r="G30" s="155">
        <f t="shared" si="1"/>
        <v>26935.550714581765</v>
      </c>
      <c r="H30" s="155">
        <f t="shared" si="1"/>
        <v>28178.477638893793</v>
      </c>
    </row>
    <row r="31" spans="1:11" ht="15" thickBot="1" x14ac:dyDescent="0.35">
      <c r="A31" s="163"/>
      <c r="B31" s="164"/>
      <c r="C31" s="165"/>
      <c r="D31" s="165"/>
      <c r="E31" s="165"/>
      <c r="F31" s="165"/>
      <c r="G31" s="165"/>
      <c r="H31" s="165"/>
    </row>
    <row r="32" spans="1:11" ht="15" thickBot="1" x14ac:dyDescent="0.35">
      <c r="A32" s="152" t="s">
        <v>58</v>
      </c>
      <c r="B32" s="166"/>
      <c r="C32" s="155">
        <f t="shared" ref="C32:H32" si="2">C30/C5</f>
        <v>6456.0213209090771</v>
      </c>
      <c r="D32" s="155">
        <f t="shared" si="2"/>
        <v>5937.1706866645873</v>
      </c>
      <c r="E32" s="155">
        <f t="shared" si="2"/>
        <v>5493.4785041031209</v>
      </c>
      <c r="F32" s="155">
        <f t="shared" si="2"/>
        <v>5192.7160385552152</v>
      </c>
      <c r="G32" s="155">
        <f t="shared" si="2"/>
        <v>4897.3728571966849</v>
      </c>
      <c r="H32" s="155">
        <f t="shared" si="2"/>
        <v>4696.4129398156319</v>
      </c>
    </row>
    <row r="33" spans="1:9" ht="15" thickBot="1" x14ac:dyDescent="0.35">
      <c r="A33" s="141"/>
      <c r="B33" s="142"/>
      <c r="C33" s="165"/>
      <c r="D33" s="165"/>
      <c r="E33" s="165"/>
      <c r="F33" s="165"/>
      <c r="G33" s="165"/>
      <c r="H33" s="165"/>
    </row>
    <row r="34" spans="1:9" ht="15" thickBot="1" x14ac:dyDescent="0.35">
      <c r="A34" s="169" t="s">
        <v>59</v>
      </c>
      <c r="B34" s="138"/>
      <c r="C34" s="155">
        <f>'Pryse + Sensatiwiteitsanalise'!$D$4</f>
        <v>406.25</v>
      </c>
      <c r="D34" s="155">
        <f>'Pryse + Sensatiwiteitsanalise'!$D$4</f>
        <v>406.25</v>
      </c>
      <c r="E34" s="155">
        <f>'Pryse + Sensatiwiteitsanalise'!$D$4</f>
        <v>406.25</v>
      </c>
      <c r="F34" s="155">
        <f>'Pryse + Sensatiwiteitsanalise'!$D$4</f>
        <v>406.25</v>
      </c>
      <c r="G34" s="155">
        <f>'Pryse + Sensatiwiteitsanalise'!$D$4</f>
        <v>406.25</v>
      </c>
      <c r="H34" s="155">
        <f>'Pryse + Sensatiwiteitsanalise'!$D$4</f>
        <v>406.25</v>
      </c>
    </row>
    <row r="35" spans="1:9" ht="15" thickBot="1" x14ac:dyDescent="0.35">
      <c r="A35" s="141"/>
      <c r="B35" s="142"/>
      <c r="C35" s="165"/>
      <c r="D35" s="165"/>
      <c r="E35" s="165"/>
      <c r="F35" s="165"/>
      <c r="G35" s="165"/>
      <c r="H35" s="165"/>
    </row>
    <row r="36" spans="1:9" ht="15" thickBot="1" x14ac:dyDescent="0.35">
      <c r="A36" s="170" t="s">
        <v>60</v>
      </c>
      <c r="B36" s="171"/>
      <c r="C36" s="173">
        <f>C32+C34</f>
        <v>6862.2713209090771</v>
      </c>
      <c r="D36" s="173">
        <f t="shared" ref="D36:H36" si="3">D32+D34</f>
        <v>6343.4206866645873</v>
      </c>
      <c r="E36" s="173">
        <f t="shared" si="3"/>
        <v>5899.7285041031209</v>
      </c>
      <c r="F36" s="173">
        <f t="shared" si="3"/>
        <v>5598.9660385552152</v>
      </c>
      <c r="G36" s="173">
        <f t="shared" si="3"/>
        <v>5303.6228571966849</v>
      </c>
      <c r="H36" s="173">
        <f t="shared" si="3"/>
        <v>5102.6629398156319</v>
      </c>
    </row>
    <row r="37" spans="1:9" ht="15" thickBot="1" x14ac:dyDescent="0.35">
      <c r="A37" s="174" t="s">
        <v>61</v>
      </c>
      <c r="B37" s="175"/>
      <c r="C37" s="173">
        <f>'Pryse + Sensatiwiteitsanalise'!B4</f>
        <v>3800</v>
      </c>
      <c r="D37" s="173">
        <f>$C$37</f>
        <v>3800</v>
      </c>
      <c r="E37" s="173">
        <f>$C$37</f>
        <v>3800</v>
      </c>
      <c r="F37" s="173">
        <f>$C$37</f>
        <v>3800</v>
      </c>
      <c r="G37" s="173">
        <f>$C$37</f>
        <v>3800</v>
      </c>
      <c r="H37" s="173">
        <f>$C$37</f>
        <v>3800</v>
      </c>
    </row>
    <row r="38" spans="1:9" ht="15" thickBot="1" x14ac:dyDescent="0.35">
      <c r="A38" s="214"/>
      <c r="B38" s="214"/>
      <c r="C38" s="215"/>
      <c r="D38" s="215"/>
      <c r="E38" s="215"/>
      <c r="F38" s="215"/>
      <c r="G38" s="215"/>
      <c r="H38" s="215"/>
    </row>
    <row r="39" spans="1:9" s="168" customFormat="1" x14ac:dyDescent="0.3">
      <c r="A39" s="104" t="s">
        <v>62</v>
      </c>
      <c r="B39" s="178"/>
      <c r="C39" s="105">
        <f t="shared" ref="C39:H39" si="4">C6-C26</f>
        <v>-3287.8236530817667</v>
      </c>
      <c r="D39" s="106">
        <f t="shared" si="4"/>
        <v>-2661.6005265583481</v>
      </c>
      <c r="E39" s="105">
        <f t="shared" si="4"/>
        <v>-1854.739798364044</v>
      </c>
      <c r="F39" s="106">
        <f t="shared" si="4"/>
        <v>-1318.8354726760772</v>
      </c>
      <c r="G39" s="105">
        <f t="shared" si="4"/>
        <v>-511.97474448176581</v>
      </c>
      <c r="H39" s="107">
        <f t="shared" si="4"/>
        <v>23.92958120620824</v>
      </c>
    </row>
    <row r="40" spans="1:9" s="168" customFormat="1" ht="15" thickBot="1" x14ac:dyDescent="0.35">
      <c r="A40" s="108" t="s">
        <v>63</v>
      </c>
      <c r="B40" s="179"/>
      <c r="C40" s="109">
        <f t="shared" ref="C40:H40" si="5">C6-C30</f>
        <v>-10144.255873181768</v>
      </c>
      <c r="D40" s="110">
        <f t="shared" si="5"/>
        <v>-9518.0327466583476</v>
      </c>
      <c r="E40" s="109">
        <f t="shared" si="5"/>
        <v>-8711.1720184640435</v>
      </c>
      <c r="F40" s="110">
        <f t="shared" si="5"/>
        <v>-8175.2676927760767</v>
      </c>
      <c r="G40" s="109">
        <f t="shared" si="5"/>
        <v>-7368.4069645817654</v>
      </c>
      <c r="H40" s="111">
        <f t="shared" si="5"/>
        <v>-6832.5026388937913</v>
      </c>
    </row>
    <row r="41" spans="1:9" x14ac:dyDescent="0.3">
      <c r="A41" s="216" t="s">
        <v>132</v>
      </c>
      <c r="B41" s="217"/>
      <c r="C41" s="217"/>
      <c r="D41" s="217"/>
      <c r="E41" s="217"/>
      <c r="F41" s="217"/>
      <c r="G41" s="217"/>
      <c r="H41" s="181"/>
      <c r="I41" s="182"/>
    </row>
    <row r="42" spans="1:9" ht="13.2" customHeight="1" x14ac:dyDescent="0.3">
      <c r="A42" s="218" t="s">
        <v>64</v>
      </c>
      <c r="B42" s="219"/>
      <c r="C42" s="219"/>
      <c r="D42" s="219"/>
      <c r="E42" s="219"/>
      <c r="F42" s="219"/>
      <c r="G42" s="219"/>
      <c r="H42" s="184"/>
      <c r="I42" s="182"/>
    </row>
    <row r="43" spans="1:9" ht="13.95" customHeight="1" thickBot="1" x14ac:dyDescent="0.35">
      <c r="A43" s="220" t="s">
        <v>65</v>
      </c>
      <c r="B43" s="221"/>
      <c r="C43" s="221"/>
      <c r="D43" s="221"/>
      <c r="E43" s="221"/>
      <c r="F43" s="221"/>
      <c r="G43" s="221"/>
      <c r="H43" s="186"/>
      <c r="I43" s="182"/>
    </row>
    <row r="44" spans="1:9" x14ac:dyDescent="0.3">
      <c r="A44" s="222" t="s">
        <v>66</v>
      </c>
      <c r="B44" s="223"/>
      <c r="C44" s="223"/>
      <c r="D44" s="223"/>
      <c r="E44" s="223"/>
      <c r="F44" s="223"/>
      <c r="G44" s="223"/>
      <c r="H44" s="224"/>
    </row>
    <row r="45" spans="1:9" x14ac:dyDescent="0.3">
      <c r="A45" s="225"/>
      <c r="B45" s="226"/>
      <c r="C45" s="226"/>
      <c r="D45" s="226"/>
      <c r="E45" s="226"/>
      <c r="F45" s="226"/>
      <c r="G45" s="226"/>
      <c r="H45" s="227"/>
    </row>
    <row r="46" spans="1:9" x14ac:dyDescent="0.3">
      <c r="A46" s="225"/>
      <c r="B46" s="226"/>
      <c r="C46" s="226"/>
      <c r="D46" s="226"/>
      <c r="E46" s="226"/>
      <c r="F46" s="226"/>
      <c r="G46" s="226"/>
      <c r="H46" s="227"/>
    </row>
    <row r="47" spans="1:9" ht="15" thickBot="1" x14ac:dyDescent="0.35">
      <c r="A47" s="228"/>
      <c r="B47" s="229"/>
      <c r="C47" s="229"/>
      <c r="D47" s="229"/>
      <c r="E47" s="229"/>
      <c r="F47" s="229"/>
      <c r="G47" s="229"/>
      <c r="H47" s="230"/>
    </row>
  </sheetData>
  <mergeCells count="12">
    <mergeCell ref="A44:H47"/>
    <mergeCell ref="J7:L7"/>
    <mergeCell ref="A39:B39"/>
    <mergeCell ref="A40:B40"/>
    <mergeCell ref="D1:F1"/>
    <mergeCell ref="A32:B32"/>
    <mergeCell ref="A36:B36"/>
    <mergeCell ref="A30:B30"/>
    <mergeCell ref="A3:B3"/>
    <mergeCell ref="A8:B8"/>
    <mergeCell ref="A26:B26"/>
    <mergeCell ref="A28:B28"/>
  </mergeCells>
  <phoneticPr fontId="0" type="noConversion"/>
  <conditionalFormatting sqref="C39:H40">
    <cfRule type="colorScale" priority="1">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onditionalFormatting>
  <pageMargins left="0.35433070866141736" right="0.35433070866141736" top="0.59055118110236227" bottom="0.59055118110236227" header="0.31496062992125984" footer="0.31496062992125984"/>
  <pageSetup paperSize="9" scale="59" fitToHeight="0" orientation="portrait" horizontalDpi="300" verticalDpi="300" r:id="rId1"/>
  <headerFooter alignWithMargins="0">
    <oddHeader>&amp;F</oddHeader>
    <oddFooter>&amp;A&amp;RPage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7"/>
  <sheetViews>
    <sheetView zoomScale="70" zoomScaleNormal="70" workbookViewId="0">
      <selection activeCell="G19" sqref="G19"/>
    </sheetView>
  </sheetViews>
  <sheetFormatPr defaultColWidth="9.109375" defaultRowHeight="14.4" x14ac:dyDescent="0.3"/>
  <cols>
    <col min="1" max="1" width="82.6640625" style="118" customWidth="1"/>
    <col min="2" max="2" width="15.6640625" style="118" customWidth="1"/>
    <col min="3" max="3" width="14.5546875" style="118" customWidth="1"/>
    <col min="4" max="4" width="14.33203125" style="118" customWidth="1"/>
    <col min="5" max="5" width="21" style="118" customWidth="1"/>
    <col min="6" max="6" width="14.44140625" style="118" customWidth="1"/>
    <col min="7" max="22" width="12.6640625" style="118" customWidth="1"/>
    <col min="23" max="23" width="9.109375" style="118" customWidth="1"/>
    <col min="24" max="16384" width="9.109375" style="118"/>
  </cols>
  <sheetData>
    <row r="1" spans="1:5" ht="30" customHeight="1" thickBot="1" x14ac:dyDescent="0.35">
      <c r="A1" s="231" t="s">
        <v>73</v>
      </c>
      <c r="B1" s="232"/>
      <c r="C1" s="232"/>
      <c r="D1" s="251" t="s">
        <v>74</v>
      </c>
      <c r="E1" s="251"/>
    </row>
    <row r="2" spans="1:5" ht="15" thickBot="1" x14ac:dyDescent="0.35">
      <c r="A2" s="119"/>
      <c r="B2" s="120"/>
      <c r="C2" s="121"/>
      <c r="D2" s="121"/>
      <c r="E2" s="121"/>
    </row>
    <row r="3" spans="1:5" ht="36" customHeight="1" thickBot="1" x14ac:dyDescent="0.35">
      <c r="A3" s="152" t="s">
        <v>33</v>
      </c>
      <c r="B3" s="166"/>
      <c r="C3" s="125"/>
      <c r="D3" s="126">
        <f>'Pryse + Sensatiwiteitsanalise'!B19</f>
        <v>3393.75</v>
      </c>
      <c r="E3" s="125" t="s">
        <v>34</v>
      </c>
    </row>
    <row r="4" spans="1:5" ht="15" thickBot="1" x14ac:dyDescent="0.35">
      <c r="A4" s="135"/>
      <c r="B4" s="233"/>
      <c r="C4" s="131"/>
      <c r="D4" s="132"/>
      <c r="E4" s="133"/>
    </row>
    <row r="5" spans="1:5" ht="15" thickBot="1" x14ac:dyDescent="0.35">
      <c r="A5" s="135" t="s">
        <v>35</v>
      </c>
      <c r="B5" s="233"/>
      <c r="C5" s="234">
        <v>8</v>
      </c>
      <c r="D5" s="234">
        <v>10</v>
      </c>
      <c r="E5" s="234">
        <v>12</v>
      </c>
    </row>
    <row r="6" spans="1:5" ht="15" thickBot="1" x14ac:dyDescent="0.35">
      <c r="A6" s="137" t="s">
        <v>36</v>
      </c>
      <c r="B6" s="235"/>
      <c r="C6" s="140">
        <v>27030</v>
      </c>
      <c r="D6" s="140">
        <v>33787.5</v>
      </c>
      <c r="E6" s="140">
        <v>40545</v>
      </c>
    </row>
    <row r="7" spans="1:5" ht="15" thickBot="1" x14ac:dyDescent="0.35">
      <c r="A7" s="163"/>
      <c r="B7" s="164"/>
      <c r="C7" s="143"/>
      <c r="D7" s="143"/>
      <c r="E7" s="143"/>
    </row>
    <row r="8" spans="1:5" ht="15" thickBot="1" x14ac:dyDescent="0.35">
      <c r="A8" s="203" t="s">
        <v>37</v>
      </c>
      <c r="B8" s="145"/>
      <c r="C8" s="147"/>
      <c r="D8" s="147"/>
      <c r="E8" s="147"/>
    </row>
    <row r="9" spans="1:5" x14ac:dyDescent="0.3">
      <c r="A9" s="206" t="str">
        <f>Sojabone!A9</f>
        <v>Saad / Seed</v>
      </c>
      <c r="B9" s="148"/>
      <c r="C9" s="149">
        <v>4242.5625</v>
      </c>
      <c r="D9" s="149">
        <v>4628.25</v>
      </c>
      <c r="E9" s="149">
        <v>5013.9375</v>
      </c>
    </row>
    <row r="10" spans="1:5" x14ac:dyDescent="0.3">
      <c r="A10" s="206" t="str">
        <f>Sojabone!A10</f>
        <v>Kunsmis / Fertiliser</v>
      </c>
      <c r="B10" s="150"/>
      <c r="C10" s="151">
        <v>12211.919999999998</v>
      </c>
      <c r="D10" s="151">
        <v>15239.9</v>
      </c>
      <c r="E10" s="151">
        <v>18267.879999999997</v>
      </c>
    </row>
    <row r="11" spans="1:5" x14ac:dyDescent="0.3">
      <c r="A11" s="206" t="str">
        <f>Sojabone!A11</f>
        <v>Kalk / Lime</v>
      </c>
      <c r="B11" s="150"/>
      <c r="C11" s="151">
        <v>800</v>
      </c>
      <c r="D11" s="151">
        <v>800</v>
      </c>
      <c r="E11" s="151">
        <v>800</v>
      </c>
    </row>
    <row r="12" spans="1:5" x14ac:dyDescent="0.3">
      <c r="A12" s="206" t="str">
        <f>Sojabone!A12</f>
        <v>Brandstof / Fuel</v>
      </c>
      <c r="B12" s="150"/>
      <c r="C12" s="151">
        <v>1687.6167679999999</v>
      </c>
      <c r="D12" s="151">
        <v>1786.976768</v>
      </c>
      <c r="E12" s="151">
        <v>1886.3367679999999</v>
      </c>
    </row>
    <row r="13" spans="1:5" x14ac:dyDescent="0.3">
      <c r="A13" s="206" t="str">
        <f>Sojabone!A13</f>
        <v>Reparasie / Reparation</v>
      </c>
      <c r="B13" s="150"/>
      <c r="C13" s="151">
        <v>1381.7887333333333</v>
      </c>
      <c r="D13" s="151">
        <v>1401.3020666666666</v>
      </c>
      <c r="E13" s="151">
        <v>1420.8154</v>
      </c>
    </row>
    <row r="14" spans="1:5" x14ac:dyDescent="0.3">
      <c r="A14" s="206" t="str">
        <f>Sojabone!A14</f>
        <v>Onkruiddoders / Herbicide</v>
      </c>
      <c r="B14" s="150"/>
      <c r="C14" s="151">
        <v>1086.5</v>
      </c>
      <c r="D14" s="151">
        <v>1086.5</v>
      </c>
      <c r="E14" s="151">
        <v>1086.5</v>
      </c>
    </row>
    <row r="15" spans="1:5" x14ac:dyDescent="0.3">
      <c r="A15" s="206" t="str">
        <f>Sojabone!A15</f>
        <v>Plaagdoder / Pesticides</v>
      </c>
      <c r="B15" s="150"/>
      <c r="C15" s="151">
        <v>327</v>
      </c>
      <c r="D15" s="151">
        <v>327</v>
      </c>
      <c r="E15" s="151">
        <v>327</v>
      </c>
    </row>
    <row r="16" spans="1:5" x14ac:dyDescent="0.3">
      <c r="A16" s="206" t="str">
        <f>Sojabone!A16</f>
        <v>Insetversekering / Input insurance</v>
      </c>
      <c r="B16" s="150"/>
      <c r="C16" s="151"/>
      <c r="D16" s="151"/>
      <c r="E16" s="151"/>
    </row>
    <row r="17" spans="1:6" x14ac:dyDescent="0.3">
      <c r="A17" s="206" t="str">
        <f>Sojabone!A17</f>
        <v>Besproeiingskoste / Irrigation cost</v>
      </c>
      <c r="B17" s="150"/>
      <c r="C17" s="151">
        <v>11848.4</v>
      </c>
      <c r="D17" s="151">
        <v>11848.4</v>
      </c>
      <c r="E17" s="151">
        <v>11848.4</v>
      </c>
    </row>
    <row r="18" spans="1:6" x14ac:dyDescent="0.3">
      <c r="A18" s="206" t="str">
        <f>Sojabone!A18</f>
        <v>Graanprysverskansing / Grain hedging</v>
      </c>
      <c r="B18" s="150"/>
      <c r="C18" s="151">
        <v>3189.6391727180849</v>
      </c>
      <c r="D18" s="151">
        <v>3532.8104375431303</v>
      </c>
      <c r="E18" s="151">
        <v>3875.9817023681762</v>
      </c>
    </row>
    <row r="19" spans="1:6" x14ac:dyDescent="0.3">
      <c r="A19" s="206" t="str">
        <f>Sojabone!A19</f>
        <v>Kontrakstroop / Contract Harvesting</v>
      </c>
      <c r="B19" s="150"/>
      <c r="C19" s="151"/>
      <c r="D19" s="151"/>
      <c r="E19" s="151"/>
    </row>
    <row r="20" spans="1:6" x14ac:dyDescent="0.3">
      <c r="A20" s="206" t="str">
        <f>Sojabone!A20</f>
        <v>Oesversekering / Harvest insurance</v>
      </c>
      <c r="B20" s="150"/>
      <c r="C20" s="151">
        <v>946.05000000000007</v>
      </c>
      <c r="D20" s="151">
        <v>1182.5625</v>
      </c>
      <c r="E20" s="151">
        <v>1419.075</v>
      </c>
    </row>
    <row r="21" spans="1:6" s="236" customFormat="1" x14ac:dyDescent="0.3">
      <c r="A21" s="206" t="str">
        <f>Sojabone!A21</f>
        <v>Lugspuit / Aerial spray</v>
      </c>
      <c r="B21" s="150"/>
      <c r="C21" s="151">
        <v>200</v>
      </c>
      <c r="D21" s="151">
        <v>200</v>
      </c>
      <c r="E21" s="151">
        <v>200</v>
      </c>
      <c r="F21" s="118"/>
    </row>
    <row r="22" spans="1:6" s="236" customFormat="1" x14ac:dyDescent="0.3">
      <c r="A22" s="206" t="str">
        <f>Sojabone!A22</f>
        <v>Losarbeid / Casual labour</v>
      </c>
      <c r="B22" s="150"/>
      <c r="C22" s="151">
        <v>300</v>
      </c>
      <c r="D22" s="151">
        <v>300</v>
      </c>
      <c r="E22" s="151">
        <v>300</v>
      </c>
      <c r="F22" s="118"/>
    </row>
    <row r="23" spans="1:6" s="236" customFormat="1" x14ac:dyDescent="0.3">
      <c r="A23" s="206" t="str">
        <f>Sojabone!A23</f>
        <v>Droogkoste / Drying cost</v>
      </c>
      <c r="B23" s="150"/>
      <c r="C23" s="151"/>
      <c r="D23" s="151"/>
      <c r="E23" s="151"/>
      <c r="F23" s="118"/>
    </row>
    <row r="24" spans="1:6" s="236" customFormat="1" x14ac:dyDescent="0.3">
      <c r="A24" s="206" t="str">
        <f>Sojabone!A24</f>
        <v>Verpakking en Pakmateriaal / Packaging and packaging material</v>
      </c>
      <c r="B24" s="150"/>
      <c r="C24" s="151"/>
      <c r="D24" s="151"/>
      <c r="E24" s="151"/>
      <c r="F24" s="118"/>
    </row>
    <row r="25" spans="1:6" s="236" customFormat="1" ht="15" thickBot="1" x14ac:dyDescent="0.35">
      <c r="A25" s="206" t="str">
        <f>Sojabone!A25</f>
        <v>Produksiekrediet rente / Interest on production R/ha</v>
      </c>
      <c r="B25" s="150"/>
      <c r="C25" s="151">
        <v>2350.6208462041627</v>
      </c>
      <c r="D25" s="151">
        <v>2603.522658990903</v>
      </c>
      <c r="E25" s="151">
        <v>2856.4244717776432</v>
      </c>
      <c r="F25" s="118"/>
    </row>
    <row r="26" spans="1:6" s="236" customFormat="1" ht="15" thickBot="1" x14ac:dyDescent="0.35">
      <c r="A26" s="237" t="s">
        <v>55</v>
      </c>
      <c r="B26" s="153"/>
      <c r="C26" s="155">
        <f>SUM(C9:C25)</f>
        <v>40572.09802025558</v>
      </c>
      <c r="D26" s="155">
        <f>SUM(D9:D25)</f>
        <v>44937.224431200695</v>
      </c>
      <c r="E26" s="155">
        <f>SUM(E9:E25)</f>
        <v>49302.350842145817</v>
      </c>
      <c r="F26" s="118"/>
    </row>
    <row r="27" spans="1:6" s="236" customFormat="1" ht="15" thickBot="1" x14ac:dyDescent="0.35">
      <c r="A27" s="156"/>
      <c r="B27" s="157"/>
      <c r="C27" s="158"/>
      <c r="D27" s="158"/>
      <c r="E27" s="158"/>
      <c r="F27" s="118"/>
    </row>
    <row r="28" spans="1:6" ht="15" thickBot="1" x14ac:dyDescent="0.35">
      <c r="A28" s="238" t="s">
        <v>56</v>
      </c>
      <c r="B28" s="239"/>
      <c r="C28" s="162">
        <v>6807.9428100000005</v>
      </c>
      <c r="D28" s="155">
        <v>6807.9428100000005</v>
      </c>
      <c r="E28" s="155">
        <v>6807.9428100000005</v>
      </c>
      <c r="F28" s="240"/>
    </row>
    <row r="29" spans="1:6" ht="15" thickBot="1" x14ac:dyDescent="0.35">
      <c r="A29" s="156"/>
      <c r="B29" s="157"/>
      <c r="C29" s="158"/>
      <c r="D29" s="158"/>
      <c r="E29" s="158"/>
    </row>
    <row r="30" spans="1:6" ht="15" thickBot="1" x14ac:dyDescent="0.35">
      <c r="A30" s="152" t="s">
        <v>57</v>
      </c>
      <c r="B30" s="153"/>
      <c r="C30" s="155">
        <f>C26+C28</f>
        <v>47380.040830255581</v>
      </c>
      <c r="D30" s="155">
        <f t="shared" ref="D30:E30" si="0">D26+D28</f>
        <v>51745.167241200696</v>
      </c>
      <c r="E30" s="155">
        <f t="shared" si="0"/>
        <v>56110.293652145818</v>
      </c>
    </row>
    <row r="31" spans="1:6" ht="15" thickBot="1" x14ac:dyDescent="0.35">
      <c r="A31" s="163"/>
      <c r="B31" s="164"/>
      <c r="C31" s="165"/>
      <c r="D31" s="165"/>
      <c r="E31" s="165"/>
    </row>
    <row r="32" spans="1:6" ht="15" thickBot="1" x14ac:dyDescent="0.35">
      <c r="A32" s="152" t="s">
        <v>58</v>
      </c>
      <c r="B32" s="166"/>
      <c r="C32" s="155">
        <f>C30/C5</f>
        <v>5922.5051037819476</v>
      </c>
      <c r="D32" s="155">
        <f>D30/D5</f>
        <v>5174.5167241200697</v>
      </c>
      <c r="E32" s="155">
        <f>E30/E5</f>
        <v>4675.8578043454845</v>
      </c>
    </row>
    <row r="33" spans="1:6" ht="15" thickBot="1" x14ac:dyDescent="0.35">
      <c r="A33" s="163"/>
      <c r="B33" s="164"/>
      <c r="C33" s="165"/>
      <c r="D33" s="165"/>
      <c r="E33" s="165"/>
    </row>
    <row r="34" spans="1:6" ht="15" thickBot="1" x14ac:dyDescent="0.35">
      <c r="A34" s="137" t="s">
        <v>59</v>
      </c>
      <c r="B34" s="235"/>
      <c r="C34" s="155">
        <f>'Pryse + Sensatiwiteitsanalise'!$D$4</f>
        <v>406.25</v>
      </c>
      <c r="D34" s="155">
        <f>'Pryse + Sensatiwiteitsanalise'!$D$4</f>
        <v>406.25</v>
      </c>
      <c r="E34" s="155">
        <f>'Pryse + Sensatiwiteitsanalise'!$D$4</f>
        <v>406.25</v>
      </c>
    </row>
    <row r="35" spans="1:6" ht="15" thickBot="1" x14ac:dyDescent="0.35">
      <c r="A35" s="163"/>
      <c r="B35" s="164"/>
      <c r="C35" s="165"/>
      <c r="D35" s="165"/>
      <c r="E35" s="165"/>
    </row>
    <row r="36" spans="1:6" ht="15" thickBot="1" x14ac:dyDescent="0.35">
      <c r="A36" s="102" t="s">
        <v>60</v>
      </c>
      <c r="B36" s="241"/>
      <c r="C36" s="173">
        <f>C32+C34</f>
        <v>6328.7551037819476</v>
      </c>
      <c r="D36" s="173">
        <f>D32+D34</f>
        <v>5580.7667241200697</v>
      </c>
      <c r="E36" s="173">
        <f>E32+E34</f>
        <v>5082.1078043454845</v>
      </c>
    </row>
    <row r="37" spans="1:6" ht="15" thickBot="1" x14ac:dyDescent="0.35">
      <c r="A37" s="242" t="s">
        <v>61</v>
      </c>
      <c r="B37" s="243"/>
      <c r="C37" s="173">
        <f>'Pryse + Sensatiwiteitsanalise'!B4</f>
        <v>3800</v>
      </c>
      <c r="D37" s="173">
        <f>$C$37</f>
        <v>3800</v>
      </c>
      <c r="E37" s="173">
        <f>$C$37</f>
        <v>3800</v>
      </c>
    </row>
    <row r="38" spans="1:6" ht="15" thickBot="1" x14ac:dyDescent="0.35">
      <c r="C38" s="177"/>
      <c r="D38" s="177"/>
      <c r="E38" s="177"/>
    </row>
    <row r="39" spans="1:6" s="168" customFormat="1" x14ac:dyDescent="0.3">
      <c r="A39" s="104" t="s">
        <v>62</v>
      </c>
      <c r="B39" s="244"/>
      <c r="C39" s="105">
        <f>C6-C26</f>
        <v>-13542.09802025558</v>
      </c>
      <c r="D39" s="105">
        <f>D6-D26</f>
        <v>-11149.724431200695</v>
      </c>
      <c r="E39" s="105">
        <f>E6-E26</f>
        <v>-8757.3508421458173</v>
      </c>
    </row>
    <row r="40" spans="1:6" s="168" customFormat="1" ht="15" thickBot="1" x14ac:dyDescent="0.35">
      <c r="A40" s="245" t="s">
        <v>63</v>
      </c>
      <c r="B40" s="246"/>
      <c r="C40" s="250">
        <f>C6-C30</f>
        <v>-20350.040830255581</v>
      </c>
      <c r="D40" s="250">
        <f>D6-D30</f>
        <v>-17957.667241200696</v>
      </c>
      <c r="E40" s="250">
        <f>E6-E30</f>
        <v>-15565.293652145818</v>
      </c>
    </row>
    <row r="41" spans="1:6" x14ac:dyDescent="0.3">
      <c r="A41" s="216" t="s">
        <v>132</v>
      </c>
      <c r="B41" s="217"/>
      <c r="C41" s="217"/>
      <c r="D41" s="217"/>
      <c r="E41" s="247"/>
      <c r="F41" s="182"/>
    </row>
    <row r="42" spans="1:6" x14ac:dyDescent="0.3">
      <c r="A42" s="218" t="s">
        <v>64</v>
      </c>
      <c r="B42" s="219"/>
      <c r="C42" s="219"/>
      <c r="D42" s="219"/>
      <c r="E42" s="248"/>
      <c r="F42" s="182"/>
    </row>
    <row r="43" spans="1:6" ht="15" thickBot="1" x14ac:dyDescent="0.35">
      <c r="A43" s="220" t="s">
        <v>65</v>
      </c>
      <c r="B43" s="221"/>
      <c r="C43" s="221"/>
      <c r="D43" s="221"/>
      <c r="E43" s="249"/>
      <c r="F43" s="182"/>
    </row>
    <row r="44" spans="1:6" x14ac:dyDescent="0.3">
      <c r="A44" s="222" t="s">
        <v>66</v>
      </c>
      <c r="B44" s="223"/>
      <c r="C44" s="223"/>
      <c r="D44" s="223"/>
      <c r="E44" s="224"/>
    </row>
    <row r="45" spans="1:6" x14ac:dyDescent="0.3">
      <c r="A45" s="225"/>
      <c r="B45" s="226"/>
      <c r="C45" s="226"/>
      <c r="D45" s="226"/>
      <c r="E45" s="227"/>
    </row>
    <row r="46" spans="1:6" x14ac:dyDescent="0.3">
      <c r="A46" s="225"/>
      <c r="B46" s="226"/>
      <c r="C46" s="226"/>
      <c r="D46" s="226"/>
      <c r="E46" s="227"/>
    </row>
    <row r="47" spans="1:6" ht="15" thickBot="1" x14ac:dyDescent="0.35">
      <c r="A47" s="228"/>
      <c r="B47" s="229"/>
      <c r="C47" s="229"/>
      <c r="D47" s="229"/>
      <c r="E47" s="230"/>
    </row>
  </sheetData>
  <mergeCells count="11">
    <mergeCell ref="D1:E1"/>
    <mergeCell ref="A44:E47"/>
    <mergeCell ref="A36:B36"/>
    <mergeCell ref="A3:B3"/>
    <mergeCell ref="A8:B8"/>
    <mergeCell ref="A26:B26"/>
    <mergeCell ref="A28:B28"/>
    <mergeCell ref="A30:B30"/>
    <mergeCell ref="A32:B32"/>
    <mergeCell ref="A39:B39"/>
    <mergeCell ref="A40:B40"/>
  </mergeCells>
  <phoneticPr fontId="0" type="noConversion"/>
  <conditionalFormatting sqref="C39:E40">
    <cfRule type="colorScale" priority="49">
      <colorScale>
        <cfvo type="min"/>
        <cfvo type="percentile" val="50"/>
        <cfvo type="max"/>
        <color rgb="FFF8696B"/>
        <color rgb="FFFFEB84"/>
        <color rgb="FF63BE7B"/>
      </colorScale>
    </cfRule>
    <cfRule type="colorScale" priority="50">
      <colorScale>
        <cfvo type="min"/>
        <cfvo type="percentile" val="50"/>
        <cfvo type="max"/>
        <color rgb="FFF8696B"/>
        <color rgb="FFFFEB84"/>
        <color rgb="FF63BE7B"/>
      </colorScale>
    </cfRule>
    <cfRule type="colorScale" priority="51">
      <colorScale>
        <cfvo type="min"/>
        <cfvo type="percentile" val="50"/>
        <cfvo type="max"/>
        <color rgb="FFF8696B"/>
        <color rgb="FFFFEB84"/>
        <color rgb="FF63BE7B"/>
      </colorScale>
    </cfRule>
  </conditionalFormatting>
  <pageMargins left="0.35433070866141736" right="0.35433070866141736" top="0.59055118110236227" bottom="0.59055118110236227" header="0.31496062992125984" footer="0.31496062992125984"/>
  <pageSetup paperSize="9" scale="84" fitToHeight="0" orientation="portrait" verticalDpi="300" r:id="rId1"/>
  <headerFooter alignWithMargins="0">
    <oddHeader>&amp;F</oddHeader>
    <oddFooter>&amp;A&amp;RPage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7"/>
  <sheetViews>
    <sheetView zoomScale="70" zoomScaleNormal="70" workbookViewId="0">
      <selection activeCell="K23" sqref="K23"/>
    </sheetView>
  </sheetViews>
  <sheetFormatPr defaultColWidth="9.109375" defaultRowHeight="14.4" x14ac:dyDescent="0.3"/>
  <cols>
    <col min="1" max="1" width="46.5546875" style="118" customWidth="1"/>
    <col min="2" max="2" width="18" style="118" customWidth="1"/>
    <col min="3" max="3" width="24.109375" style="118" customWidth="1"/>
    <col min="4" max="4" width="13.6640625" style="118" customWidth="1"/>
    <col min="5" max="8" width="14.33203125" style="118" customWidth="1"/>
    <col min="9" max="19" width="12.6640625" style="118" customWidth="1"/>
    <col min="20" max="16384" width="9.109375" style="118"/>
  </cols>
  <sheetData>
    <row r="1" spans="1:8" ht="30.75" customHeight="1" thickBot="1" x14ac:dyDescent="0.35">
      <c r="A1" s="102" t="s">
        <v>134</v>
      </c>
      <c r="B1" s="115"/>
      <c r="C1" s="115"/>
      <c r="D1" s="115"/>
      <c r="E1" s="103" t="s">
        <v>75</v>
      </c>
      <c r="F1" s="103"/>
      <c r="G1" s="103"/>
      <c r="H1" s="116"/>
    </row>
    <row r="2" spans="1:8" ht="15" thickBot="1" x14ac:dyDescent="0.35">
      <c r="A2" s="119"/>
      <c r="B2" s="120"/>
      <c r="C2" s="121"/>
      <c r="D2" s="121"/>
      <c r="E2" s="121"/>
      <c r="F2" s="121"/>
      <c r="G2" s="121"/>
      <c r="H2" s="121"/>
    </row>
    <row r="3" spans="1:8" ht="36.6" customHeight="1" thickBot="1" x14ac:dyDescent="0.35">
      <c r="A3" s="123" t="s">
        <v>33</v>
      </c>
      <c r="B3" s="124"/>
      <c r="C3" s="124"/>
      <c r="D3" s="125"/>
      <c r="E3" s="126">
        <f>'Pryse + Sensatiwiteitsanalise'!B32</f>
        <v>9522.48</v>
      </c>
      <c r="F3" s="125" t="s">
        <v>34</v>
      </c>
      <c r="G3" s="127"/>
      <c r="H3" s="127"/>
    </row>
    <row r="4" spans="1:8" ht="15" thickBot="1" x14ac:dyDescent="0.35">
      <c r="A4" s="129"/>
      <c r="B4" s="130"/>
      <c r="C4" s="130"/>
      <c r="D4" s="131"/>
      <c r="E4" s="132"/>
      <c r="F4" s="133"/>
      <c r="G4" s="130"/>
      <c r="H4" s="134"/>
    </row>
    <row r="5" spans="1:8" ht="15" thickBot="1" x14ac:dyDescent="0.35">
      <c r="A5" s="135" t="s">
        <v>35</v>
      </c>
      <c r="B5" s="130"/>
      <c r="C5" s="130"/>
      <c r="D5" s="234">
        <v>1</v>
      </c>
      <c r="E5" s="252">
        <v>1.25</v>
      </c>
      <c r="F5" s="234">
        <v>1.5</v>
      </c>
      <c r="G5" s="234">
        <v>1.75</v>
      </c>
      <c r="H5" s="234">
        <v>2</v>
      </c>
    </row>
    <row r="6" spans="1:8" ht="15" thickBot="1" x14ac:dyDescent="0.35">
      <c r="A6" s="137" t="s">
        <v>36</v>
      </c>
      <c r="B6" s="138"/>
      <c r="C6" s="139"/>
      <c r="D6" s="140">
        <v>9522.48</v>
      </c>
      <c r="E6" s="140">
        <v>11903.099999999999</v>
      </c>
      <c r="F6" s="140">
        <v>14283.72</v>
      </c>
      <c r="G6" s="140">
        <v>16664.34</v>
      </c>
      <c r="H6" s="140">
        <v>19044.96</v>
      </c>
    </row>
    <row r="7" spans="1:8" ht="15" thickBot="1" x14ac:dyDescent="0.35">
      <c r="A7" s="141"/>
      <c r="B7" s="142"/>
      <c r="C7" s="142"/>
      <c r="D7" s="143"/>
      <c r="E7" s="143"/>
      <c r="F7" s="143"/>
      <c r="G7" s="143"/>
      <c r="H7" s="143"/>
    </row>
    <row r="8" spans="1:8" ht="15" thickBot="1" x14ac:dyDescent="0.35">
      <c r="A8" s="203" t="s">
        <v>37</v>
      </c>
      <c r="B8" s="204"/>
      <c r="C8" s="253"/>
      <c r="D8" s="147"/>
      <c r="E8" s="147"/>
      <c r="F8" s="147"/>
      <c r="G8" s="147"/>
      <c r="H8" s="147"/>
    </row>
    <row r="9" spans="1:8" x14ac:dyDescent="0.3">
      <c r="A9" s="206" t="str">
        <f>'W-BT Mielies'!A9</f>
        <v>Saad / Seed</v>
      </c>
      <c r="B9" s="206"/>
      <c r="C9" s="206"/>
      <c r="D9" s="207">
        <v>693.73772222222215</v>
      </c>
      <c r="E9" s="149">
        <v>743.2904166666666</v>
      </c>
      <c r="F9" s="149">
        <v>792.84311111111106</v>
      </c>
      <c r="G9" s="149">
        <v>792.84311111111106</v>
      </c>
      <c r="H9" s="149">
        <v>792.84311111111106</v>
      </c>
    </row>
    <row r="10" spans="1:8" x14ac:dyDescent="0.3">
      <c r="A10" s="206" t="str">
        <f>'W-BT Mielies'!A10</f>
        <v>Kunsmis / Fertiliser</v>
      </c>
      <c r="B10" s="206"/>
      <c r="C10" s="206"/>
      <c r="D10" s="209">
        <v>1409.33</v>
      </c>
      <c r="E10" s="151">
        <v>1736.6624999999999</v>
      </c>
      <c r="F10" s="151">
        <v>2063.9949999999999</v>
      </c>
      <c r="G10" s="151">
        <v>2391.3274999999999</v>
      </c>
      <c r="H10" s="151">
        <v>2718.66</v>
      </c>
    </row>
    <row r="11" spans="1:8" x14ac:dyDescent="0.3">
      <c r="A11" s="206" t="str">
        <f>'W-BT Mielies'!A11</f>
        <v>Kalk / Lime</v>
      </c>
      <c r="B11" s="206"/>
      <c r="C11" s="206"/>
      <c r="D11" s="209">
        <v>800</v>
      </c>
      <c r="E11" s="151">
        <v>800</v>
      </c>
      <c r="F11" s="151">
        <v>800</v>
      </c>
      <c r="G11" s="151">
        <v>800</v>
      </c>
      <c r="H11" s="151">
        <v>800</v>
      </c>
    </row>
    <row r="12" spans="1:8" x14ac:dyDescent="0.3">
      <c r="A12" s="206" t="str">
        <f>'W-BT Mielies'!A12</f>
        <v>Brandstof / Fuel</v>
      </c>
      <c r="B12" s="206"/>
      <c r="C12" s="206"/>
      <c r="D12" s="209">
        <v>1303.007468</v>
      </c>
      <c r="E12" s="151">
        <v>1319.567468</v>
      </c>
      <c r="F12" s="151">
        <v>1336.1274679999999</v>
      </c>
      <c r="G12" s="151">
        <v>1352.6874680000001</v>
      </c>
      <c r="H12" s="151">
        <v>1369.247468</v>
      </c>
    </row>
    <row r="13" spans="1:8" x14ac:dyDescent="0.3">
      <c r="A13" s="206" t="str">
        <f>'W-BT Mielies'!A13</f>
        <v>Reparasie / Reparation</v>
      </c>
      <c r="B13" s="206"/>
      <c r="C13" s="206"/>
      <c r="D13" s="209">
        <v>1218.5687333333333</v>
      </c>
      <c r="E13" s="151">
        <v>1219.7570666666666</v>
      </c>
      <c r="F13" s="151">
        <v>1220.9454000000001</v>
      </c>
      <c r="G13" s="151">
        <v>1222.1337333333333</v>
      </c>
      <c r="H13" s="151">
        <v>1223.3220666666666</v>
      </c>
    </row>
    <row r="14" spans="1:8" x14ac:dyDescent="0.3">
      <c r="A14" s="206" t="str">
        <f>'W-BT Mielies'!A14</f>
        <v>Onkruiddoders / Herbicide</v>
      </c>
      <c r="B14" s="206"/>
      <c r="C14" s="206"/>
      <c r="D14" s="209">
        <v>991.5</v>
      </c>
      <c r="E14" s="151">
        <v>991.5</v>
      </c>
      <c r="F14" s="151">
        <v>991.5</v>
      </c>
      <c r="G14" s="151">
        <v>991.5</v>
      </c>
      <c r="H14" s="151">
        <v>991.5</v>
      </c>
    </row>
    <row r="15" spans="1:8" x14ac:dyDescent="0.3">
      <c r="A15" s="206" t="str">
        <f>'W-BT Mielies'!A15</f>
        <v>Plaagdoder / Pesticides</v>
      </c>
      <c r="B15" s="206"/>
      <c r="C15" s="206"/>
      <c r="D15" s="209">
        <v>428.16040000000004</v>
      </c>
      <c r="E15" s="151">
        <v>428.16040000000004</v>
      </c>
      <c r="F15" s="151">
        <v>428.16040000000004</v>
      </c>
      <c r="G15" s="151">
        <v>428.16040000000004</v>
      </c>
      <c r="H15" s="151">
        <v>428.16040000000004</v>
      </c>
    </row>
    <row r="16" spans="1:8" x14ac:dyDescent="0.3">
      <c r="A16" s="206" t="str">
        <f>'W-BT Mielies'!A16</f>
        <v>Insetversekering / Input insurance</v>
      </c>
      <c r="B16" s="206"/>
      <c r="C16" s="206"/>
      <c r="D16" s="209"/>
      <c r="E16" s="151"/>
      <c r="F16" s="151"/>
      <c r="G16" s="151"/>
      <c r="H16" s="151"/>
    </row>
    <row r="17" spans="1:8" x14ac:dyDescent="0.3">
      <c r="A17" s="206" t="str">
        <f>'W-BT Mielies'!A17</f>
        <v>Besproeiingskoste / Irrigation cost</v>
      </c>
      <c r="B17" s="206"/>
      <c r="C17" s="206"/>
      <c r="D17" s="209"/>
      <c r="E17" s="151"/>
      <c r="F17" s="151"/>
      <c r="G17" s="151"/>
      <c r="H17" s="151"/>
    </row>
    <row r="18" spans="1:8" x14ac:dyDescent="0.3">
      <c r="A18" s="206" t="str">
        <f>'W-BT Mielies'!A18</f>
        <v>Graanprysverskansing / Grain hedging</v>
      </c>
      <c r="B18" s="206"/>
      <c r="C18" s="206"/>
      <c r="D18" s="209">
        <v>326.51810834843207</v>
      </c>
      <c r="E18" s="151">
        <v>347.44722295921514</v>
      </c>
      <c r="F18" s="151">
        <v>368.3763375699981</v>
      </c>
      <c r="G18" s="151">
        <v>387.21874467683028</v>
      </c>
      <c r="H18" s="151">
        <v>406.06115178366235</v>
      </c>
    </row>
    <row r="19" spans="1:8" x14ac:dyDescent="0.3">
      <c r="A19" s="206" t="str">
        <f>'W-BT Mielies'!A19</f>
        <v>Kontrakstroop / Contract Harvesting</v>
      </c>
      <c r="B19" s="206"/>
      <c r="C19" s="206"/>
      <c r="D19" s="209"/>
      <c r="E19" s="151"/>
      <c r="F19" s="151"/>
      <c r="G19" s="151"/>
      <c r="H19" s="151"/>
    </row>
    <row r="20" spans="1:8" x14ac:dyDescent="0.3">
      <c r="A20" s="206" t="str">
        <f>'W-BT Mielies'!A20</f>
        <v>Oesversekering / Harvest insurance</v>
      </c>
      <c r="B20" s="206"/>
      <c r="C20" s="206"/>
      <c r="D20" s="209">
        <v>409.46663999999993</v>
      </c>
      <c r="E20" s="151">
        <v>511.83329999999989</v>
      </c>
      <c r="F20" s="151">
        <v>614.19995999999992</v>
      </c>
      <c r="G20" s="151">
        <v>716.56661999999994</v>
      </c>
      <c r="H20" s="151">
        <v>818.93327999999985</v>
      </c>
    </row>
    <row r="21" spans="1:8" x14ac:dyDescent="0.3">
      <c r="A21" s="206" t="str">
        <f>'W-BT Mielies'!A21</f>
        <v>Lugspuit / Aerial spray</v>
      </c>
      <c r="B21" s="206"/>
      <c r="C21" s="206"/>
      <c r="D21" s="209">
        <v>200</v>
      </c>
      <c r="E21" s="151">
        <v>200</v>
      </c>
      <c r="F21" s="151">
        <v>200</v>
      </c>
      <c r="G21" s="151">
        <v>200</v>
      </c>
      <c r="H21" s="151">
        <v>200</v>
      </c>
    </row>
    <row r="22" spans="1:8" x14ac:dyDescent="0.3">
      <c r="A22" s="206" t="str">
        <f>'W-BT Mielies'!A22</f>
        <v>Losarbeid / Casual labour</v>
      </c>
      <c r="B22" s="206"/>
      <c r="C22" s="206"/>
      <c r="D22" s="209">
        <v>300</v>
      </c>
      <c r="E22" s="151">
        <v>300</v>
      </c>
      <c r="F22" s="151">
        <v>300</v>
      </c>
      <c r="G22" s="151">
        <v>300</v>
      </c>
      <c r="H22" s="151">
        <v>300</v>
      </c>
    </row>
    <row r="23" spans="1:8" x14ac:dyDescent="0.3">
      <c r="A23" s="206" t="str">
        <f>'W-BT Mielies'!A23</f>
        <v>Droogkoste / Drying cost</v>
      </c>
      <c r="B23" s="206"/>
      <c r="C23" s="206"/>
      <c r="D23" s="209"/>
      <c r="E23" s="151"/>
      <c r="F23" s="151"/>
      <c r="G23" s="151"/>
      <c r="H23" s="151"/>
    </row>
    <row r="24" spans="1:8" x14ac:dyDescent="0.3">
      <c r="A24" s="206" t="str">
        <f>'W-BT Mielies'!A24</f>
        <v>Verpakking en Pakmateriaal / Packaging and packaging material</v>
      </c>
      <c r="B24" s="206"/>
      <c r="C24" s="206"/>
      <c r="D24" s="209"/>
      <c r="E24" s="151"/>
      <c r="F24" s="151"/>
      <c r="G24" s="151"/>
      <c r="H24" s="151"/>
    </row>
    <row r="25" spans="1:8" ht="15" thickBot="1" x14ac:dyDescent="0.35">
      <c r="A25" s="206" t="str">
        <f>'W-BT Mielies'!A25</f>
        <v>Produksiekrediet rente / Interest on production R/ha</v>
      </c>
      <c r="B25" s="206"/>
      <c r="C25" s="206"/>
      <c r="D25" s="258">
        <v>496.93777792209522</v>
      </c>
      <c r="E25" s="259">
        <v>528.79043001899174</v>
      </c>
      <c r="F25" s="259">
        <v>560.64308211588832</v>
      </c>
      <c r="G25" s="259">
        <v>589.3199109929584</v>
      </c>
      <c r="H25" s="259">
        <v>617.99673987002859</v>
      </c>
    </row>
    <row r="26" spans="1:8" ht="15" thickBot="1" x14ac:dyDescent="0.35">
      <c r="A26" s="237" t="s">
        <v>55</v>
      </c>
      <c r="B26" s="254"/>
      <c r="C26" s="255"/>
      <c r="D26" s="155">
        <f>SUM(D9:D25)</f>
        <v>8577.2268498260819</v>
      </c>
      <c r="E26" s="155">
        <f t="shared" ref="E26:H26" si="0">SUM(E9:E25)</f>
        <v>9127.0088043115393</v>
      </c>
      <c r="F26" s="155">
        <f t="shared" si="0"/>
        <v>9676.7907587969985</v>
      </c>
      <c r="G26" s="155">
        <f t="shared" si="0"/>
        <v>10171.757488114234</v>
      </c>
      <c r="H26" s="155">
        <f t="shared" si="0"/>
        <v>10666.724217431467</v>
      </c>
    </row>
    <row r="27" spans="1:8" ht="15" thickBot="1" x14ac:dyDescent="0.35">
      <c r="A27" s="156"/>
      <c r="B27" s="157"/>
      <c r="C27" s="157"/>
      <c r="D27" s="260"/>
      <c r="E27" s="260"/>
      <c r="F27" s="260"/>
      <c r="G27" s="260"/>
      <c r="H27" s="260"/>
    </row>
    <row r="28" spans="1:8" ht="15" thickBot="1" x14ac:dyDescent="0.35">
      <c r="A28" s="159" t="s">
        <v>56</v>
      </c>
      <c r="B28" s="160"/>
      <c r="C28" s="161"/>
      <c r="D28" s="162">
        <v>5786.3480645999998</v>
      </c>
      <c r="E28" s="155">
        <v>5786.3480645999998</v>
      </c>
      <c r="F28" s="155">
        <v>5786.3480645999998</v>
      </c>
      <c r="G28" s="155">
        <v>5786.3480645999998</v>
      </c>
      <c r="H28" s="155">
        <v>5786.3480645999998</v>
      </c>
    </row>
    <row r="29" spans="1:8" ht="15" thickBot="1" x14ac:dyDescent="0.35">
      <c r="A29" s="156"/>
      <c r="B29" s="157"/>
      <c r="C29" s="157"/>
      <c r="D29" s="158"/>
      <c r="E29" s="158"/>
      <c r="F29" s="158"/>
      <c r="G29" s="158"/>
      <c r="H29" s="158"/>
    </row>
    <row r="30" spans="1:8" ht="15" thickBot="1" x14ac:dyDescent="0.35">
      <c r="A30" s="152" t="s">
        <v>57</v>
      </c>
      <c r="B30" s="153"/>
      <c r="C30" s="154"/>
      <c r="D30" s="155">
        <f>D26+D28</f>
        <v>14363.574914426081</v>
      </c>
      <c r="E30" s="155">
        <f>E26+E28</f>
        <v>14913.356868911538</v>
      </c>
      <c r="F30" s="155">
        <f t="shared" ref="F30:H30" si="1">F26+F28</f>
        <v>15463.138823396999</v>
      </c>
      <c r="G30" s="155">
        <f t="shared" si="1"/>
        <v>15958.105552714234</v>
      </c>
      <c r="H30" s="155">
        <f t="shared" si="1"/>
        <v>16453.072282031466</v>
      </c>
    </row>
    <row r="31" spans="1:8" ht="15" thickBot="1" x14ac:dyDescent="0.35">
      <c r="A31" s="163"/>
      <c r="B31" s="164"/>
      <c r="C31" s="164"/>
      <c r="D31" s="165"/>
      <c r="E31" s="165"/>
      <c r="F31" s="165"/>
      <c r="G31" s="165"/>
      <c r="H31" s="165"/>
    </row>
    <row r="32" spans="1:8" ht="15" thickBot="1" x14ac:dyDescent="0.35">
      <c r="A32" s="152" t="s">
        <v>58</v>
      </c>
      <c r="B32" s="166"/>
      <c r="C32" s="167"/>
      <c r="D32" s="155">
        <f>D30/D5</f>
        <v>14363.574914426081</v>
      </c>
      <c r="E32" s="155">
        <f t="shared" ref="E32:H32" si="2">E30/E5</f>
        <v>11930.68549512923</v>
      </c>
      <c r="F32" s="155">
        <f t="shared" si="2"/>
        <v>10308.759215598</v>
      </c>
      <c r="G32" s="155">
        <f t="shared" si="2"/>
        <v>9118.9174586938479</v>
      </c>
      <c r="H32" s="155">
        <f t="shared" si="2"/>
        <v>8226.5361410157329</v>
      </c>
    </row>
    <row r="33" spans="1:8" ht="15" thickBot="1" x14ac:dyDescent="0.35">
      <c r="A33" s="141"/>
      <c r="B33" s="142"/>
      <c r="C33" s="142"/>
      <c r="D33" s="165"/>
      <c r="E33" s="165"/>
      <c r="F33" s="165"/>
      <c r="G33" s="165"/>
      <c r="H33" s="165"/>
    </row>
    <row r="34" spans="1:8" ht="15" thickBot="1" x14ac:dyDescent="0.35">
      <c r="A34" s="169" t="s">
        <v>59</v>
      </c>
      <c r="B34" s="138"/>
      <c r="C34" s="138"/>
      <c r="D34" s="155">
        <f>'Pryse + Sensatiwiteitsanalise'!D5</f>
        <v>477.52</v>
      </c>
      <c r="E34" s="155">
        <f>$D$34</f>
        <v>477.52</v>
      </c>
      <c r="F34" s="155">
        <f>$D$34</f>
        <v>477.52</v>
      </c>
      <c r="G34" s="155">
        <f>$D$34</f>
        <v>477.52</v>
      </c>
      <c r="H34" s="155">
        <f>$D$34</f>
        <v>477.52</v>
      </c>
    </row>
    <row r="35" spans="1:8" ht="15" thickBot="1" x14ac:dyDescent="0.35">
      <c r="A35" s="141"/>
      <c r="B35" s="142"/>
      <c r="C35" s="142"/>
      <c r="D35" s="165"/>
      <c r="E35" s="165"/>
      <c r="F35" s="165"/>
      <c r="G35" s="165"/>
      <c r="H35" s="165"/>
    </row>
    <row r="36" spans="1:8" ht="15" thickBot="1" x14ac:dyDescent="0.35">
      <c r="A36" s="170" t="s">
        <v>60</v>
      </c>
      <c r="B36" s="171"/>
      <c r="C36" s="172"/>
      <c r="D36" s="173">
        <f>D32+D34</f>
        <v>14841.094914426081</v>
      </c>
      <c r="E36" s="173">
        <f>E32+E34</f>
        <v>12408.20549512923</v>
      </c>
      <c r="F36" s="173">
        <f>F32+F34</f>
        <v>10786.279215598001</v>
      </c>
      <c r="G36" s="173">
        <f>G32+G34</f>
        <v>9596.4374586938484</v>
      </c>
      <c r="H36" s="173">
        <f>H32+H34</f>
        <v>8704.0561410157334</v>
      </c>
    </row>
    <row r="37" spans="1:8" ht="15" thickBot="1" x14ac:dyDescent="0.35">
      <c r="A37" s="174" t="s">
        <v>61</v>
      </c>
      <c r="B37" s="175"/>
      <c r="C37" s="176"/>
      <c r="D37" s="173">
        <f>'Pryse + Sensatiwiteitsanalise'!B5</f>
        <v>10000</v>
      </c>
      <c r="E37" s="173">
        <f>$D$37</f>
        <v>10000</v>
      </c>
      <c r="F37" s="173">
        <f>$D$37</f>
        <v>10000</v>
      </c>
      <c r="G37" s="173">
        <f>$D$37</f>
        <v>10000</v>
      </c>
      <c r="H37" s="173">
        <f>$D$37</f>
        <v>10000</v>
      </c>
    </row>
    <row r="38" spans="1:8" ht="15" thickBot="1" x14ac:dyDescent="0.35">
      <c r="D38" s="177"/>
      <c r="E38" s="177"/>
      <c r="F38" s="177"/>
      <c r="G38" s="177"/>
      <c r="H38" s="177"/>
    </row>
    <row r="39" spans="1:8" s="168" customFormat="1" x14ac:dyDescent="0.3">
      <c r="A39" s="104" t="s">
        <v>62</v>
      </c>
      <c r="B39" s="178"/>
      <c r="C39" s="178"/>
      <c r="D39" s="105">
        <f t="shared" ref="D39:H39" si="3">D6-D26</f>
        <v>945.25315017391767</v>
      </c>
      <c r="E39" s="106">
        <f t="shared" si="3"/>
        <v>2776.0911956884593</v>
      </c>
      <c r="F39" s="105">
        <f t="shared" si="3"/>
        <v>4606.9292412030009</v>
      </c>
      <c r="G39" s="106">
        <f t="shared" si="3"/>
        <v>6492.5825118857665</v>
      </c>
      <c r="H39" s="105">
        <f t="shared" si="3"/>
        <v>8378.2357825685322</v>
      </c>
    </row>
    <row r="40" spans="1:8" s="168" customFormat="1" ht="15" thickBot="1" x14ac:dyDescent="0.35">
      <c r="A40" s="245" t="s">
        <v>63</v>
      </c>
      <c r="B40" s="257"/>
      <c r="C40" s="257"/>
      <c r="D40" s="250">
        <f t="shared" ref="D40:H40" si="4">D6-D30</f>
        <v>-4841.0949144260812</v>
      </c>
      <c r="E40" s="261">
        <f t="shared" si="4"/>
        <v>-3010.2568689115396</v>
      </c>
      <c r="F40" s="250">
        <f t="shared" si="4"/>
        <v>-1179.4188233969999</v>
      </c>
      <c r="G40" s="261">
        <f t="shared" si="4"/>
        <v>706.23444728576578</v>
      </c>
      <c r="H40" s="250">
        <f t="shared" si="4"/>
        <v>2591.8877179685333</v>
      </c>
    </row>
    <row r="41" spans="1:8" x14ac:dyDescent="0.3">
      <c r="A41" s="216" t="s">
        <v>132</v>
      </c>
      <c r="B41" s="217"/>
      <c r="C41" s="217"/>
      <c r="D41" s="217"/>
      <c r="E41" s="217"/>
      <c r="F41" s="217"/>
      <c r="G41" s="217"/>
      <c r="H41" s="247"/>
    </row>
    <row r="42" spans="1:8" x14ac:dyDescent="0.3">
      <c r="A42" s="218" t="s">
        <v>64</v>
      </c>
      <c r="B42" s="219"/>
      <c r="C42" s="219"/>
      <c r="D42" s="219"/>
      <c r="E42" s="219"/>
      <c r="F42" s="219"/>
      <c r="G42" s="219"/>
      <c r="H42" s="248"/>
    </row>
    <row r="43" spans="1:8" ht="15" thickBot="1" x14ac:dyDescent="0.35">
      <c r="A43" s="220" t="s">
        <v>65</v>
      </c>
      <c r="B43" s="221"/>
      <c r="C43" s="221"/>
      <c r="D43" s="221"/>
      <c r="E43" s="221"/>
      <c r="F43" s="221"/>
      <c r="G43" s="221"/>
      <c r="H43" s="249"/>
    </row>
    <row r="44" spans="1:8" x14ac:dyDescent="0.3">
      <c r="A44" s="222" t="s">
        <v>66</v>
      </c>
      <c r="B44" s="223"/>
      <c r="C44" s="223"/>
      <c r="D44" s="223"/>
      <c r="E44" s="223"/>
      <c r="F44" s="223"/>
      <c r="G44" s="223"/>
      <c r="H44" s="224"/>
    </row>
    <row r="45" spans="1:8" x14ac:dyDescent="0.3">
      <c r="A45" s="225"/>
      <c r="B45" s="226"/>
      <c r="C45" s="226"/>
      <c r="D45" s="226"/>
      <c r="E45" s="226"/>
      <c r="F45" s="226"/>
      <c r="G45" s="226"/>
      <c r="H45" s="227"/>
    </row>
    <row r="46" spans="1:8" x14ac:dyDescent="0.3">
      <c r="A46" s="225"/>
      <c r="B46" s="226"/>
      <c r="C46" s="226"/>
      <c r="D46" s="226"/>
      <c r="E46" s="226"/>
      <c r="F46" s="226"/>
      <c r="G46" s="226"/>
      <c r="H46" s="227"/>
    </row>
    <row r="47" spans="1:8" ht="15" thickBot="1" x14ac:dyDescent="0.35">
      <c r="A47" s="228"/>
      <c r="B47" s="229"/>
      <c r="C47" s="229"/>
      <c r="D47" s="229"/>
      <c r="E47" s="229"/>
      <c r="F47" s="229"/>
      <c r="G47" s="229"/>
      <c r="H47" s="230"/>
    </row>
  </sheetData>
  <mergeCells count="12">
    <mergeCell ref="A44:H47"/>
    <mergeCell ref="A39:C39"/>
    <mergeCell ref="A40:C40"/>
    <mergeCell ref="A1:D1"/>
    <mergeCell ref="E1:G1"/>
    <mergeCell ref="A32:C32"/>
    <mergeCell ref="A36:C36"/>
    <mergeCell ref="A30:C30"/>
    <mergeCell ref="A3:C3"/>
    <mergeCell ref="A8:C8"/>
    <mergeCell ref="A26:C26"/>
    <mergeCell ref="A28:C28"/>
  </mergeCells>
  <phoneticPr fontId="0" type="noConversion"/>
  <conditionalFormatting sqref="D39:H40">
    <cfRule type="colorScale" priority="55">
      <colorScale>
        <cfvo type="min"/>
        <cfvo type="percentile" val="50"/>
        <cfvo type="max"/>
        <color rgb="FFF8696B"/>
        <color rgb="FFFFEB84"/>
        <color rgb="FF63BE7B"/>
      </colorScale>
    </cfRule>
    <cfRule type="colorScale" priority="56">
      <colorScale>
        <cfvo type="min"/>
        <cfvo type="percentile" val="50"/>
        <cfvo type="max"/>
        <color rgb="FFF8696B"/>
        <color rgb="FFFFEB84"/>
        <color rgb="FF63BE7B"/>
      </colorScale>
    </cfRule>
    <cfRule type="colorScale" priority="57">
      <colorScale>
        <cfvo type="min"/>
        <cfvo type="percentile" val="50"/>
        <cfvo type="max"/>
        <color rgb="FFF8696B"/>
        <color rgb="FFFFEB84"/>
        <color rgb="FF63BE7B"/>
      </colorScale>
    </cfRule>
  </conditionalFormatting>
  <pageMargins left="0.35433070866141736" right="0.35433070866141736" top="0.59055118110236227" bottom="0.59055118110236227" header="0.31496062992125984" footer="0.31496062992125984"/>
  <pageSetup paperSize="9" scale="66" fitToHeight="0" orientation="portrait" r:id="rId1"/>
  <headerFooter alignWithMargins="0">
    <oddHeader>&amp;F</oddHeader>
    <oddFooter>&amp;A&amp;RPage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7"/>
  <sheetViews>
    <sheetView zoomScale="70" zoomScaleNormal="70" workbookViewId="0">
      <selection activeCell="M29" sqref="M29"/>
    </sheetView>
  </sheetViews>
  <sheetFormatPr defaultColWidth="9.109375" defaultRowHeight="14.4" x14ac:dyDescent="0.3"/>
  <cols>
    <col min="1" max="1" width="56.33203125" style="118" customWidth="1"/>
    <col min="2" max="2" width="18" style="118" customWidth="1"/>
    <col min="3" max="3" width="17.33203125" style="118" customWidth="1"/>
    <col min="4" max="4" width="13.88671875" style="118" customWidth="1"/>
    <col min="5" max="7" width="14.33203125" style="118" customWidth="1"/>
    <col min="8" max="8" width="14.44140625" style="118" customWidth="1"/>
    <col min="9" max="11" width="12.6640625" style="118" hidden="1" customWidth="1"/>
    <col min="12" max="24" width="12.6640625" style="118" customWidth="1"/>
    <col min="25" max="16384" width="9.109375" style="118"/>
  </cols>
  <sheetData>
    <row r="1" spans="1:11" ht="30.75" customHeight="1" thickBot="1" x14ac:dyDescent="0.35">
      <c r="A1" s="102" t="s">
        <v>135</v>
      </c>
      <c r="B1" s="115"/>
      <c r="C1" s="115"/>
      <c r="D1" s="115"/>
      <c r="E1" s="103" t="s">
        <v>74</v>
      </c>
      <c r="F1" s="103"/>
      <c r="G1" s="103"/>
    </row>
    <row r="2" spans="1:11" ht="15" thickBot="1" x14ac:dyDescent="0.35">
      <c r="A2" s="119"/>
      <c r="B2" s="120"/>
      <c r="C2" s="121"/>
      <c r="D2" s="121"/>
      <c r="E2" s="121"/>
      <c r="F2" s="121"/>
      <c r="G2" s="122"/>
    </row>
    <row r="3" spans="1:11" ht="40.200000000000003" customHeight="1" thickBot="1" x14ac:dyDescent="0.35">
      <c r="A3" s="123" t="s">
        <v>33</v>
      </c>
      <c r="B3" s="124"/>
      <c r="C3" s="124"/>
      <c r="D3" s="125"/>
      <c r="E3" s="126">
        <f>'Pryse + Sensatiwiteitsanalise'!B45</f>
        <v>7793.83</v>
      </c>
      <c r="F3" s="125" t="s">
        <v>34</v>
      </c>
      <c r="G3" s="128"/>
    </row>
    <row r="4" spans="1:11" ht="15" thickBot="1" x14ac:dyDescent="0.35">
      <c r="A4" s="129"/>
      <c r="B4" s="130"/>
      <c r="C4" s="130"/>
      <c r="D4" s="131"/>
      <c r="E4" s="132"/>
      <c r="F4" s="133"/>
      <c r="G4" s="262"/>
    </row>
    <row r="5" spans="1:11" ht="15" thickBot="1" x14ac:dyDescent="0.35">
      <c r="A5" s="135" t="s">
        <v>35</v>
      </c>
      <c r="B5" s="130"/>
      <c r="C5" s="130"/>
      <c r="D5" s="234">
        <v>1</v>
      </c>
      <c r="E5" s="234">
        <v>1.5</v>
      </c>
      <c r="F5" s="234">
        <v>1.8</v>
      </c>
      <c r="G5" s="234">
        <v>2</v>
      </c>
    </row>
    <row r="6" spans="1:11" ht="15" thickBot="1" x14ac:dyDescent="0.35">
      <c r="A6" s="137" t="s">
        <v>36</v>
      </c>
      <c r="B6" s="138"/>
      <c r="C6" s="139"/>
      <c r="D6" s="140">
        <v>7793.83</v>
      </c>
      <c r="E6" s="140">
        <v>11690.744999999999</v>
      </c>
      <c r="F6" s="140">
        <v>14028.894</v>
      </c>
      <c r="G6" s="140">
        <v>15587.66</v>
      </c>
    </row>
    <row r="7" spans="1:11" ht="15" thickBot="1" x14ac:dyDescent="0.35">
      <c r="A7" s="141"/>
      <c r="B7" s="142"/>
      <c r="C7" s="142"/>
      <c r="D7" s="143"/>
      <c r="E7" s="143"/>
      <c r="F7" s="143"/>
      <c r="G7" s="143"/>
      <c r="I7" s="202" t="s">
        <v>76</v>
      </c>
      <c r="J7" s="202"/>
      <c r="K7" s="202"/>
    </row>
    <row r="8" spans="1:11" ht="15" thickBot="1" x14ac:dyDescent="0.35">
      <c r="A8" s="203" t="s">
        <v>37</v>
      </c>
      <c r="B8" s="145"/>
      <c r="C8" s="146"/>
      <c r="D8" s="147"/>
      <c r="E8" s="147"/>
      <c r="F8" s="147"/>
      <c r="G8" s="147"/>
      <c r="I8" s="205" t="s">
        <v>70</v>
      </c>
      <c r="J8" s="205" t="s">
        <v>71</v>
      </c>
      <c r="K8" s="205" t="s">
        <v>72</v>
      </c>
    </row>
    <row r="9" spans="1:11" x14ac:dyDescent="0.3">
      <c r="A9" s="206" t="str">
        <f>Sonneblom!A9</f>
        <v>Saad / Seed</v>
      </c>
      <c r="B9" s="148"/>
      <c r="C9" s="148"/>
      <c r="D9" s="149">
        <v>2264.4622799999997</v>
      </c>
      <c r="E9" s="149">
        <v>2264.4622799999997</v>
      </c>
      <c r="F9" s="149">
        <v>2264.4622799999997</v>
      </c>
      <c r="G9" s="149">
        <v>2264.4622799999997</v>
      </c>
      <c r="I9" s="208">
        <f>D5</f>
        <v>1</v>
      </c>
      <c r="J9" s="208">
        <f>D26</f>
        <v>10645.974020404146</v>
      </c>
      <c r="K9" s="208">
        <f>D28</f>
        <v>4226.6698500000002</v>
      </c>
    </row>
    <row r="10" spans="1:11" x14ac:dyDescent="0.3">
      <c r="A10" s="206" t="str">
        <f>Sonneblom!A10</f>
        <v>Kunsmis / Fertiliser</v>
      </c>
      <c r="B10" s="150"/>
      <c r="C10" s="150"/>
      <c r="D10" s="151">
        <v>1568.8</v>
      </c>
      <c r="E10" s="151">
        <v>2303.1999999999998</v>
      </c>
      <c r="F10" s="151">
        <v>2743.84</v>
      </c>
      <c r="G10" s="151">
        <v>3037.6</v>
      </c>
      <c r="I10" s="208">
        <f>E5</f>
        <v>1.5</v>
      </c>
      <c r="J10" s="208">
        <f>E26</f>
        <v>11911.09982152446</v>
      </c>
      <c r="K10" s="208">
        <f>E28</f>
        <v>4226.6698500000002</v>
      </c>
    </row>
    <row r="11" spans="1:11" x14ac:dyDescent="0.3">
      <c r="A11" s="206" t="str">
        <f>Sonneblom!A11</f>
        <v>Kalk / Lime</v>
      </c>
      <c r="B11" s="150"/>
      <c r="C11" s="150"/>
      <c r="D11" s="151">
        <v>800</v>
      </c>
      <c r="E11" s="151">
        <v>800</v>
      </c>
      <c r="F11" s="151">
        <v>800</v>
      </c>
      <c r="G11" s="151">
        <v>800</v>
      </c>
      <c r="I11" s="208">
        <f>F5</f>
        <v>1.8</v>
      </c>
      <c r="J11" s="208">
        <f>F26</f>
        <v>12646.040132832077</v>
      </c>
      <c r="K11" s="208">
        <f>F28</f>
        <v>4226.6698500000002</v>
      </c>
    </row>
    <row r="12" spans="1:11" x14ac:dyDescent="0.3">
      <c r="A12" s="206" t="str">
        <f>Sonneblom!A12</f>
        <v>Brandstof / Fuel</v>
      </c>
      <c r="B12" s="150"/>
      <c r="C12" s="150"/>
      <c r="D12" s="151">
        <v>1340.9607679999999</v>
      </c>
      <c r="E12" s="151">
        <v>1363.0407679999998</v>
      </c>
      <c r="F12" s="151">
        <v>1380.7047680000001</v>
      </c>
      <c r="G12" s="151">
        <v>1396.160768</v>
      </c>
      <c r="I12" s="208">
        <f>G5</f>
        <v>2</v>
      </c>
      <c r="J12" s="208">
        <f>G26</f>
        <v>13140.107694387396</v>
      </c>
      <c r="K12" s="208">
        <f>G28</f>
        <v>4226.6698500000002</v>
      </c>
    </row>
    <row r="13" spans="1:11" x14ac:dyDescent="0.3">
      <c r="A13" s="206" t="str">
        <f>Sonneblom!A13</f>
        <v>Reparasie / Reparation</v>
      </c>
      <c r="B13" s="150"/>
      <c r="C13" s="150"/>
      <c r="D13" s="151">
        <v>1147.1037333333334</v>
      </c>
      <c r="E13" s="151">
        <v>1192.8804</v>
      </c>
      <c r="F13" s="151">
        <v>1194.3063999999999</v>
      </c>
      <c r="G13" s="151">
        <v>1195.2570666666666</v>
      </c>
      <c r="I13" s="208" t="e">
        <f>#REF!</f>
        <v>#REF!</v>
      </c>
      <c r="J13" s="208" t="e">
        <f>#REF!</f>
        <v>#REF!</v>
      </c>
      <c r="K13" s="208" t="e">
        <f>#REF!</f>
        <v>#REF!</v>
      </c>
    </row>
    <row r="14" spans="1:11" x14ac:dyDescent="0.3">
      <c r="A14" s="206" t="str">
        <f>Sonneblom!A14</f>
        <v>Onkruiddoders / Herbicide</v>
      </c>
      <c r="B14" s="150"/>
      <c r="C14" s="150"/>
      <c r="D14" s="151">
        <v>579</v>
      </c>
      <c r="E14" s="151">
        <v>579</v>
      </c>
      <c r="F14" s="151">
        <v>579</v>
      </c>
      <c r="G14" s="151">
        <v>579</v>
      </c>
    </row>
    <row r="15" spans="1:11" x14ac:dyDescent="0.3">
      <c r="A15" s="206" t="str">
        <f>Sonneblom!A15</f>
        <v>Plaagdoder / Pesticides</v>
      </c>
      <c r="B15" s="150"/>
      <c r="C15" s="150"/>
      <c r="D15" s="151">
        <v>675.5</v>
      </c>
      <c r="E15" s="151">
        <v>675.5</v>
      </c>
      <c r="F15" s="151">
        <v>675.5</v>
      </c>
      <c r="G15" s="151">
        <v>675.5</v>
      </c>
    </row>
    <row r="16" spans="1:11" x14ac:dyDescent="0.3">
      <c r="A16" s="206" t="str">
        <f>Sonneblom!A16</f>
        <v>Insetversekering / Input insurance</v>
      </c>
      <c r="B16" s="150"/>
      <c r="C16" s="150"/>
      <c r="D16" s="151"/>
      <c r="E16" s="151"/>
      <c r="F16" s="151"/>
      <c r="G16" s="151"/>
    </row>
    <row r="17" spans="1:8" x14ac:dyDescent="0.3">
      <c r="A17" s="206" t="str">
        <f>Sonneblom!A17</f>
        <v>Besproeiingskoste / Irrigation cost</v>
      </c>
      <c r="B17" s="150"/>
      <c r="C17" s="150"/>
      <c r="D17" s="151"/>
      <c r="E17" s="151"/>
      <c r="F17" s="151"/>
      <c r="G17" s="151"/>
    </row>
    <row r="18" spans="1:8" x14ac:dyDescent="0.3">
      <c r="A18" s="206" t="str">
        <f>Sonneblom!A18</f>
        <v>Graanprysverskansing / Grain hedging</v>
      </c>
      <c r="B18" s="150"/>
      <c r="C18" s="150"/>
      <c r="D18" s="151">
        <v>490.87715091268348</v>
      </c>
      <c r="E18" s="151">
        <v>549.21106640128153</v>
      </c>
      <c r="F18" s="151">
        <v>583.09856278386883</v>
      </c>
      <c r="G18" s="151">
        <v>605.87961377176566</v>
      </c>
    </row>
    <row r="19" spans="1:8" x14ac:dyDescent="0.3">
      <c r="A19" s="206" t="str">
        <f>Sonneblom!A19</f>
        <v>Kontrakstroop / Contract Harvesting</v>
      </c>
      <c r="B19" s="150"/>
      <c r="C19" s="150"/>
      <c r="D19" s="151">
        <v>0</v>
      </c>
      <c r="E19" s="151">
        <v>0</v>
      </c>
      <c r="F19" s="151">
        <v>0</v>
      </c>
      <c r="G19" s="151">
        <v>0</v>
      </c>
    </row>
    <row r="20" spans="1:8" x14ac:dyDescent="0.3">
      <c r="A20" s="206" t="str">
        <f>Sonneblom!A20</f>
        <v>Oesversekering / Harvest insurance</v>
      </c>
      <c r="B20" s="150"/>
      <c r="C20" s="150"/>
      <c r="D20" s="151">
        <v>662.47555</v>
      </c>
      <c r="E20" s="151">
        <v>993.71332499999994</v>
      </c>
      <c r="F20" s="151">
        <v>1192.4559900000002</v>
      </c>
      <c r="G20" s="151">
        <v>1324.9511</v>
      </c>
    </row>
    <row r="21" spans="1:8" x14ac:dyDescent="0.3">
      <c r="A21" s="206" t="str">
        <f>Sonneblom!A21</f>
        <v>Lugspuit / Aerial spray</v>
      </c>
      <c r="B21" s="150"/>
      <c r="C21" s="150"/>
      <c r="D21" s="151">
        <v>200</v>
      </c>
      <c r="E21" s="151">
        <v>200</v>
      </c>
      <c r="F21" s="151">
        <v>200</v>
      </c>
      <c r="G21" s="151">
        <v>200</v>
      </c>
    </row>
    <row r="22" spans="1:8" x14ac:dyDescent="0.3">
      <c r="A22" s="206" t="str">
        <f>Sonneblom!A22</f>
        <v>Losarbeid / Casual labour</v>
      </c>
      <c r="B22" s="150"/>
      <c r="C22" s="150"/>
      <c r="D22" s="151">
        <v>300</v>
      </c>
      <c r="E22" s="151">
        <v>300</v>
      </c>
      <c r="F22" s="151">
        <v>300</v>
      </c>
      <c r="G22" s="151">
        <v>300</v>
      </c>
    </row>
    <row r="23" spans="1:8" x14ac:dyDescent="0.3">
      <c r="A23" s="206" t="str">
        <f>Sonneblom!A23</f>
        <v>Droogkoste / Drying cost</v>
      </c>
      <c r="B23" s="150"/>
      <c r="C23" s="150"/>
      <c r="D23" s="151"/>
      <c r="E23" s="151"/>
      <c r="F23" s="151"/>
      <c r="G23" s="151"/>
    </row>
    <row r="24" spans="1:8" x14ac:dyDescent="0.3">
      <c r="A24" s="206" t="str">
        <f>Sonneblom!A24</f>
        <v>Verpakking en Pakmateriaal / Packaging and packaging material</v>
      </c>
      <c r="B24" s="150"/>
      <c r="C24" s="150"/>
      <c r="D24" s="151"/>
      <c r="E24" s="151"/>
      <c r="F24" s="151"/>
      <c r="G24" s="151"/>
    </row>
    <row r="25" spans="1:8" ht="15" thickBot="1" x14ac:dyDescent="0.35">
      <c r="A25" s="206" t="str">
        <f>Sonneblom!A25</f>
        <v>Produksiekrediet rente / Interest on production R/ha</v>
      </c>
      <c r="B25" s="150"/>
      <c r="C25" s="150"/>
      <c r="D25" s="151">
        <v>616.79453815813019</v>
      </c>
      <c r="E25" s="151">
        <v>690.09198212317881</v>
      </c>
      <c r="F25" s="151">
        <v>732.67213204820803</v>
      </c>
      <c r="G25" s="151">
        <v>761.29686594896373</v>
      </c>
    </row>
    <row r="26" spans="1:8" ht="15" thickBot="1" x14ac:dyDescent="0.35">
      <c r="A26" s="237" t="s">
        <v>55</v>
      </c>
      <c r="B26" s="153"/>
      <c r="C26" s="154"/>
      <c r="D26" s="155">
        <f>SUM(D9:D25)</f>
        <v>10645.974020404146</v>
      </c>
      <c r="E26" s="155">
        <f>SUM(E9:E25)</f>
        <v>11911.09982152446</v>
      </c>
      <c r="F26" s="155">
        <f t="shared" ref="F26:G26" si="0">SUM(F9:F25)</f>
        <v>12646.040132832077</v>
      </c>
      <c r="G26" s="155">
        <f t="shared" si="0"/>
        <v>13140.107694387396</v>
      </c>
    </row>
    <row r="27" spans="1:8" ht="15" thickBot="1" x14ac:dyDescent="0.35">
      <c r="A27" s="156"/>
      <c r="B27" s="157"/>
      <c r="C27" s="157"/>
      <c r="D27" s="260"/>
      <c r="E27" s="260"/>
      <c r="F27" s="260"/>
      <c r="G27" s="260"/>
      <c r="H27" s="256"/>
    </row>
    <row r="28" spans="1:8" ht="15" thickBot="1" x14ac:dyDescent="0.35">
      <c r="A28" s="159" t="s">
        <v>56</v>
      </c>
      <c r="B28" s="160"/>
      <c r="C28" s="161"/>
      <c r="D28" s="162">
        <v>4226.6698500000002</v>
      </c>
      <c r="E28" s="155">
        <v>4226.6698500000002</v>
      </c>
      <c r="F28" s="155">
        <v>4226.6698500000002</v>
      </c>
      <c r="G28" s="155">
        <v>4226.6698500000002</v>
      </c>
      <c r="H28" s="240"/>
    </row>
    <row r="29" spans="1:8" ht="15" thickBot="1" x14ac:dyDescent="0.35">
      <c r="A29" s="156"/>
      <c r="B29" s="157"/>
      <c r="C29" s="157"/>
      <c r="D29" s="158"/>
      <c r="E29" s="158"/>
      <c r="F29" s="158"/>
      <c r="G29" s="158"/>
    </row>
    <row r="30" spans="1:8" ht="15" thickBot="1" x14ac:dyDescent="0.35">
      <c r="A30" s="152" t="s">
        <v>57</v>
      </c>
      <c r="B30" s="153"/>
      <c r="C30" s="154"/>
      <c r="D30" s="155">
        <f>D26+D28</f>
        <v>14872.643870404147</v>
      </c>
      <c r="E30" s="155">
        <f t="shared" ref="E30:G30" si="1">E26+E28</f>
        <v>16137.76967152446</v>
      </c>
      <c r="F30" s="155">
        <f t="shared" si="1"/>
        <v>16872.709982832079</v>
      </c>
      <c r="G30" s="155">
        <f t="shared" si="1"/>
        <v>17366.777544387398</v>
      </c>
    </row>
    <row r="31" spans="1:8" ht="15" thickBot="1" x14ac:dyDescent="0.35">
      <c r="A31" s="163"/>
      <c r="B31" s="164"/>
      <c r="C31" s="164"/>
      <c r="D31" s="165"/>
      <c r="E31" s="165"/>
      <c r="F31" s="165"/>
      <c r="G31" s="165"/>
    </row>
    <row r="32" spans="1:8" ht="15" thickBot="1" x14ac:dyDescent="0.35">
      <c r="A32" s="152" t="s">
        <v>58</v>
      </c>
      <c r="B32" s="166"/>
      <c r="C32" s="167"/>
      <c r="D32" s="155">
        <f>D30/D5</f>
        <v>14872.643870404147</v>
      </c>
      <c r="E32" s="155">
        <f t="shared" ref="E32:G32" si="2">E30/E5</f>
        <v>10758.51311434964</v>
      </c>
      <c r="F32" s="155">
        <f t="shared" si="2"/>
        <v>9373.7277682400436</v>
      </c>
      <c r="G32" s="155">
        <f t="shared" si="2"/>
        <v>8683.388772193699</v>
      </c>
    </row>
    <row r="33" spans="1:8" ht="15" thickBot="1" x14ac:dyDescent="0.35">
      <c r="A33" s="141"/>
      <c r="B33" s="142"/>
      <c r="C33" s="142"/>
      <c r="D33" s="165"/>
      <c r="E33" s="165"/>
      <c r="F33" s="165"/>
      <c r="G33" s="165"/>
    </row>
    <row r="34" spans="1:8" ht="15" thickBot="1" x14ac:dyDescent="0.35">
      <c r="A34" s="169" t="s">
        <v>59</v>
      </c>
      <c r="B34" s="138"/>
      <c r="C34" s="138"/>
      <c r="D34" s="155">
        <f>'Pryse + Sensatiwiteitsanalise'!$D$6</f>
        <v>106.17</v>
      </c>
      <c r="E34" s="155">
        <f>'Pryse + Sensatiwiteitsanalise'!$D$6</f>
        <v>106.17</v>
      </c>
      <c r="F34" s="155">
        <f>'Pryse + Sensatiwiteitsanalise'!$D$6</f>
        <v>106.17</v>
      </c>
      <c r="G34" s="155">
        <f>'Pryse + Sensatiwiteitsanalise'!$D$6</f>
        <v>106.17</v>
      </c>
    </row>
    <row r="35" spans="1:8" ht="15" thickBot="1" x14ac:dyDescent="0.35">
      <c r="A35" s="141"/>
      <c r="B35" s="142"/>
      <c r="C35" s="142"/>
      <c r="D35" s="165"/>
      <c r="E35" s="165"/>
      <c r="F35" s="165"/>
      <c r="G35" s="165"/>
    </row>
    <row r="36" spans="1:8" ht="15" thickBot="1" x14ac:dyDescent="0.35">
      <c r="A36" s="170" t="s">
        <v>60</v>
      </c>
      <c r="B36" s="171"/>
      <c r="C36" s="172"/>
      <c r="D36" s="173">
        <f>D32+D34</f>
        <v>14978.813870404147</v>
      </c>
      <c r="E36" s="173">
        <f>E32+E34</f>
        <v>10864.68311434964</v>
      </c>
      <c r="F36" s="173">
        <f>F32+F34</f>
        <v>9479.8977682400437</v>
      </c>
      <c r="G36" s="173">
        <f>G32+G34</f>
        <v>8789.558772193699</v>
      </c>
    </row>
    <row r="37" spans="1:8" ht="15" thickBot="1" x14ac:dyDescent="0.35">
      <c r="A37" s="174" t="s">
        <v>61</v>
      </c>
      <c r="B37" s="175"/>
      <c r="C37" s="176"/>
      <c r="D37" s="173">
        <f>'Pryse + Sensatiwiteitsanalise'!B5</f>
        <v>10000</v>
      </c>
      <c r="E37" s="173">
        <f>$D$37</f>
        <v>10000</v>
      </c>
      <c r="F37" s="173">
        <f>$D$37</f>
        <v>10000</v>
      </c>
      <c r="G37" s="173">
        <f>$D$37</f>
        <v>10000</v>
      </c>
    </row>
    <row r="38" spans="1:8" ht="15" thickBot="1" x14ac:dyDescent="0.35">
      <c r="D38" s="177"/>
      <c r="E38" s="177"/>
      <c r="F38" s="177"/>
      <c r="G38" s="177"/>
    </row>
    <row r="39" spans="1:8" s="168" customFormat="1" x14ac:dyDescent="0.3">
      <c r="A39" s="104" t="s">
        <v>62</v>
      </c>
      <c r="B39" s="178"/>
      <c r="C39" s="178"/>
      <c r="D39" s="105">
        <f t="shared" ref="D39:G39" si="3">D6-D26</f>
        <v>-2852.1440204041464</v>
      </c>
      <c r="E39" s="106">
        <f t="shared" si="3"/>
        <v>-220.35482152446093</v>
      </c>
      <c r="F39" s="105">
        <f t="shared" si="3"/>
        <v>1382.8538671679235</v>
      </c>
      <c r="G39" s="106">
        <f t="shared" si="3"/>
        <v>2447.552305612604</v>
      </c>
    </row>
    <row r="40" spans="1:8" s="168" customFormat="1" ht="15" thickBot="1" x14ac:dyDescent="0.35">
      <c r="A40" s="245" t="s">
        <v>63</v>
      </c>
      <c r="B40" s="257"/>
      <c r="C40" s="257"/>
      <c r="D40" s="250">
        <f t="shared" ref="D40:G40" si="4">D6-D30</f>
        <v>-7078.8138704041467</v>
      </c>
      <c r="E40" s="261">
        <f t="shared" si="4"/>
        <v>-4447.0246715244612</v>
      </c>
      <c r="F40" s="250">
        <f t="shared" si="4"/>
        <v>-2843.8159828320786</v>
      </c>
      <c r="G40" s="261">
        <f t="shared" si="4"/>
        <v>-1779.1175443873981</v>
      </c>
    </row>
    <row r="41" spans="1:8" x14ac:dyDescent="0.3">
      <c r="A41" s="216" t="s">
        <v>132</v>
      </c>
      <c r="B41" s="217"/>
      <c r="C41" s="217"/>
      <c r="D41" s="217"/>
      <c r="E41" s="217"/>
      <c r="F41" s="217"/>
      <c r="G41" s="247"/>
      <c r="H41" s="182"/>
    </row>
    <row r="42" spans="1:8" x14ac:dyDescent="0.3">
      <c r="A42" s="218" t="s">
        <v>64</v>
      </c>
      <c r="B42" s="219"/>
      <c r="C42" s="219"/>
      <c r="D42" s="219"/>
      <c r="E42" s="219"/>
      <c r="F42" s="219"/>
      <c r="G42" s="248"/>
      <c r="H42" s="182"/>
    </row>
    <row r="43" spans="1:8" ht="15" thickBot="1" x14ac:dyDescent="0.35">
      <c r="A43" s="220" t="s">
        <v>65</v>
      </c>
      <c r="B43" s="221"/>
      <c r="C43" s="221"/>
      <c r="D43" s="221"/>
      <c r="E43" s="221"/>
      <c r="F43" s="221"/>
      <c r="G43" s="249"/>
      <c r="H43" s="182"/>
    </row>
    <row r="44" spans="1:8" x14ac:dyDescent="0.3">
      <c r="A44" s="263" t="s">
        <v>77</v>
      </c>
      <c r="B44" s="264"/>
      <c r="C44" s="264"/>
      <c r="D44" s="264"/>
      <c r="E44" s="264"/>
      <c r="F44" s="264"/>
      <c r="G44" s="265"/>
      <c r="H44" s="266"/>
    </row>
    <row r="45" spans="1:8" x14ac:dyDescent="0.3">
      <c r="A45" s="267"/>
      <c r="B45" s="268"/>
      <c r="C45" s="268"/>
      <c r="D45" s="268"/>
      <c r="E45" s="268"/>
      <c r="F45" s="268"/>
      <c r="G45" s="269"/>
      <c r="H45" s="266"/>
    </row>
    <row r="46" spans="1:8" x14ac:dyDescent="0.3">
      <c r="A46" s="267"/>
      <c r="B46" s="268"/>
      <c r="C46" s="268"/>
      <c r="D46" s="268"/>
      <c r="E46" s="268"/>
      <c r="F46" s="268"/>
      <c r="G46" s="269"/>
      <c r="H46" s="266"/>
    </row>
    <row r="47" spans="1:8" ht="15" thickBot="1" x14ac:dyDescent="0.35">
      <c r="A47" s="270"/>
      <c r="B47" s="271"/>
      <c r="C47" s="271"/>
      <c r="D47" s="271"/>
      <c r="E47" s="271"/>
      <c r="F47" s="271"/>
      <c r="G47" s="272"/>
      <c r="H47" s="266"/>
    </row>
  </sheetData>
  <mergeCells count="13">
    <mergeCell ref="A44:G47"/>
    <mergeCell ref="A39:C39"/>
    <mergeCell ref="A40:C40"/>
    <mergeCell ref="I7:K7"/>
    <mergeCell ref="A1:D1"/>
    <mergeCell ref="E1:G1"/>
    <mergeCell ref="A32:C32"/>
    <mergeCell ref="A36:C36"/>
    <mergeCell ref="A30:C30"/>
    <mergeCell ref="A3:C3"/>
    <mergeCell ref="A8:C8"/>
    <mergeCell ref="A26:C26"/>
    <mergeCell ref="A28:C28"/>
  </mergeCells>
  <conditionalFormatting sqref="D39:G40">
    <cfRule type="colorScale" priority="52">
      <colorScale>
        <cfvo type="min"/>
        <cfvo type="percentile" val="50"/>
        <cfvo type="max"/>
        <color rgb="FFF8696B"/>
        <color rgb="FFFFEB84"/>
        <color rgb="FF63BE7B"/>
      </colorScale>
    </cfRule>
    <cfRule type="colorScale" priority="53">
      <colorScale>
        <cfvo type="min"/>
        <cfvo type="percentile" val="50"/>
        <cfvo type="max"/>
        <color rgb="FFF8696B"/>
        <color rgb="FFFFEB84"/>
        <color rgb="FF63BE7B"/>
      </colorScale>
    </cfRule>
    <cfRule type="colorScale" priority="54">
      <colorScale>
        <cfvo type="min"/>
        <cfvo type="percentile" val="50"/>
        <cfvo type="max"/>
        <color rgb="FFF8696B"/>
        <color rgb="FFFFEB84"/>
        <color rgb="FF63BE7B"/>
      </colorScale>
    </cfRule>
  </conditionalFormatting>
  <pageMargins left="0.31496062992125984" right="0.31496062992125984" top="0.55118110236220474" bottom="0.55118110236220474" header="0.31496062992125984" footer="0.31496062992125984"/>
  <pageSetup paperSize="9" scale="74" fitToHeight="0" orientation="portrait" horizontalDpi="300" verticalDpi="300" r:id="rId1"/>
  <headerFooter>
    <oddHeader>&amp;F</oddHeader>
    <oddFooter>&amp;A&amp;RPage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86"/>
  <sheetViews>
    <sheetView zoomScale="70" zoomScaleNormal="70" workbookViewId="0">
      <selection activeCell="I30" sqref="I30"/>
    </sheetView>
  </sheetViews>
  <sheetFormatPr defaultColWidth="9.109375" defaultRowHeight="14.4" x14ac:dyDescent="0.3"/>
  <cols>
    <col min="1" max="1" width="72.6640625" style="305" bestFit="1" customWidth="1"/>
    <col min="2" max="2" width="14.6640625" style="305" customWidth="1"/>
    <col min="3" max="5" width="12.88671875" style="305" bestFit="1" customWidth="1"/>
    <col min="6" max="6" width="12.6640625" style="305" customWidth="1"/>
    <col min="7" max="7" width="9.109375" style="305" customWidth="1"/>
    <col min="8" max="8" width="10.88671875" style="305" bestFit="1" customWidth="1"/>
    <col min="9" max="9" width="57.88671875" style="305" bestFit="1" customWidth="1"/>
    <col min="10" max="10" width="9.21875" style="305" bestFit="1" customWidth="1"/>
    <col min="11" max="16384" width="9.109375" style="305"/>
  </cols>
  <sheetData>
    <row r="1" spans="1:11" x14ac:dyDescent="0.3">
      <c r="A1" s="273" t="s">
        <v>136</v>
      </c>
      <c r="B1" s="310" t="s">
        <v>78</v>
      </c>
      <c r="C1" s="310" t="s">
        <v>79</v>
      </c>
      <c r="D1" s="310" t="s">
        <v>80</v>
      </c>
      <c r="E1" s="310" t="s">
        <v>81</v>
      </c>
      <c r="F1" s="311"/>
    </row>
    <row r="2" spans="1:11" x14ac:dyDescent="0.3">
      <c r="A2" s="274" t="s">
        <v>82</v>
      </c>
      <c r="B2" s="275" t="str">
        <f>'[4]Rent calculations'!B2</f>
        <v>Maize (conven)</v>
      </c>
      <c r="C2" s="275" t="str">
        <f>'[4]Rent calculations'!C2</f>
        <v>Maize (Bt)</v>
      </c>
      <c r="D2" s="275" t="str">
        <f>'[4]Rent calculations'!D2</f>
        <v>Sunflower</v>
      </c>
      <c r="E2" s="275" t="str">
        <f>'[4]Rent calculations'!E2</f>
        <v>Soy bean</v>
      </c>
      <c r="F2" s="275" t="str">
        <f>'[4]Rent calculations'!F2</f>
        <v>Irr-Maize</v>
      </c>
      <c r="I2" s="305" t="s">
        <v>83</v>
      </c>
    </row>
    <row r="3" spans="1:11" x14ac:dyDescent="0.3">
      <c r="A3" s="276" t="s">
        <v>84</v>
      </c>
      <c r="B3" s="277"/>
      <c r="C3" s="278"/>
      <c r="D3" s="278"/>
      <c r="E3" s="278"/>
      <c r="F3" s="278"/>
      <c r="I3" s="312" t="s">
        <v>85</v>
      </c>
      <c r="J3" s="313">
        <v>6.2</v>
      </c>
    </row>
    <row r="4" spans="1:11" x14ac:dyDescent="0.3">
      <c r="A4" s="292" t="s">
        <v>86</v>
      </c>
      <c r="B4" s="314">
        <f>J3</f>
        <v>6.2</v>
      </c>
      <c r="C4" s="314">
        <f>J3</f>
        <v>6.2</v>
      </c>
      <c r="D4" s="314">
        <f>J5</f>
        <v>1.4279999999999999</v>
      </c>
      <c r="E4" s="314">
        <f>J4</f>
        <v>2.0329999999999999</v>
      </c>
      <c r="F4" s="314">
        <f>'Bes-mielies'!C5</f>
        <v>8</v>
      </c>
      <c r="I4" s="312" t="s">
        <v>87</v>
      </c>
      <c r="J4" s="313">
        <v>2.0329999999999999</v>
      </c>
    </row>
    <row r="5" spans="1:11" s="280" customFormat="1" x14ac:dyDescent="0.3">
      <c r="A5" s="292" t="s">
        <v>88</v>
      </c>
      <c r="B5" s="315">
        <f>'Pryse + Sensatiwiteitsanalise'!B4</f>
        <v>3800</v>
      </c>
      <c r="C5" s="316">
        <f>B5</f>
        <v>3800</v>
      </c>
      <c r="D5" s="316">
        <f>'Pryse + Sensatiwiteitsanalise'!B5</f>
        <v>10000</v>
      </c>
      <c r="E5" s="316">
        <f>'Pryse + Sensatiwiteitsanalise'!B6</f>
        <v>7900</v>
      </c>
      <c r="F5" s="316">
        <f>B5</f>
        <v>3800</v>
      </c>
      <c r="I5" s="312" t="s">
        <v>89</v>
      </c>
      <c r="J5" s="313">
        <v>1.4279999999999999</v>
      </c>
    </row>
    <row r="6" spans="1:11" s="280" customFormat="1" x14ac:dyDescent="0.3">
      <c r="A6" s="292" t="s">
        <v>90</v>
      </c>
      <c r="B6" s="315">
        <f>'Pryse + Sensatiwiteitsanalise'!D4</f>
        <v>406.25</v>
      </c>
      <c r="C6" s="316">
        <f>B6</f>
        <v>406.25</v>
      </c>
      <c r="D6" s="316">
        <f>'Pryse + Sensatiwiteitsanalise'!D5</f>
        <v>477.52</v>
      </c>
      <c r="E6" s="316">
        <f>'Pryse + Sensatiwiteitsanalise'!D6</f>
        <v>106.17</v>
      </c>
      <c r="F6" s="316">
        <f>B6</f>
        <v>406.25</v>
      </c>
    </row>
    <row r="7" spans="1:11" s="280" customFormat="1" ht="15" thickBot="1" x14ac:dyDescent="0.35">
      <c r="A7" s="292" t="s">
        <v>91</v>
      </c>
      <c r="B7" s="317">
        <f>B5-B6</f>
        <v>3393.75</v>
      </c>
      <c r="C7" s="318">
        <f>C5-C6</f>
        <v>3393.75</v>
      </c>
      <c r="D7" s="318">
        <f>D5-D6</f>
        <v>9522.48</v>
      </c>
      <c r="E7" s="318">
        <f>E5-E6</f>
        <v>7793.83</v>
      </c>
      <c r="F7" s="318">
        <f>F5-F6</f>
        <v>3393.75</v>
      </c>
    </row>
    <row r="8" spans="1:11" ht="15" thickTop="1" x14ac:dyDescent="0.3">
      <c r="A8" s="273" t="s">
        <v>92</v>
      </c>
      <c r="B8" s="279">
        <f>B4*B7</f>
        <v>21041.25</v>
      </c>
      <c r="C8" s="279">
        <f>C4*C7</f>
        <v>21041.25</v>
      </c>
      <c r="D8" s="279">
        <f t="shared" ref="D8:F8" si="0">D4*D7</f>
        <v>13598.101439999999</v>
      </c>
      <c r="E8" s="279">
        <f t="shared" si="0"/>
        <v>15844.856389999999</v>
      </c>
      <c r="F8" s="279">
        <f t="shared" si="0"/>
        <v>27150</v>
      </c>
      <c r="I8" s="280" t="s">
        <v>93</v>
      </c>
    </row>
    <row r="9" spans="1:11" x14ac:dyDescent="0.3">
      <c r="A9" s="292"/>
      <c r="B9" s="281"/>
      <c r="C9" s="281"/>
      <c r="D9" s="281"/>
      <c r="E9" s="281"/>
      <c r="F9" s="281"/>
      <c r="I9" s="280" t="s">
        <v>94</v>
      </c>
      <c r="J9" s="319"/>
      <c r="K9" s="319"/>
    </row>
    <row r="10" spans="1:11" x14ac:dyDescent="0.3">
      <c r="A10" s="276" t="s">
        <v>95</v>
      </c>
      <c r="B10" s="282"/>
      <c r="C10" s="282"/>
      <c r="D10" s="282"/>
      <c r="E10" s="282"/>
      <c r="F10" s="282"/>
    </row>
    <row r="11" spans="1:11" x14ac:dyDescent="0.3">
      <c r="A11" s="320" t="str">
        <f>'W-Mielie '!A9</f>
        <v>Saad / Seed</v>
      </c>
      <c r="B11" s="288">
        <f>'W-Mielie '!I9</f>
        <v>1806.7071149999999</v>
      </c>
      <c r="C11" s="289">
        <f>'W-BT Mielies'!H9</f>
        <v>2728.4378557499995</v>
      </c>
      <c r="D11" s="289">
        <f>Sonneblom!E9</f>
        <v>743.2904166666666</v>
      </c>
      <c r="E11" s="289">
        <f>Sojabone!G9</f>
        <v>2264.4622799999997</v>
      </c>
      <c r="F11" s="289">
        <f>'Bes-mielies'!C9</f>
        <v>4242.5625</v>
      </c>
    </row>
    <row r="12" spans="1:11" x14ac:dyDescent="0.3">
      <c r="A12" s="320" t="str">
        <f>'W-Mielie '!A10</f>
        <v>Kunsmis / Fertiliser</v>
      </c>
      <c r="B12" s="288">
        <f>'W-Mielie '!I10</f>
        <v>8685.82</v>
      </c>
      <c r="C12" s="289">
        <f>'W-BT Mielies'!H10</f>
        <v>8685.82</v>
      </c>
      <c r="D12" s="289">
        <f>Sonneblom!E10</f>
        <v>1736.6624999999999</v>
      </c>
      <c r="E12" s="289">
        <f>Sojabone!G10</f>
        <v>3037.6</v>
      </c>
      <c r="F12" s="289">
        <f>'Bes-mielies'!C10</f>
        <v>12211.919999999998</v>
      </c>
    </row>
    <row r="13" spans="1:11" x14ac:dyDescent="0.3">
      <c r="A13" s="320" t="str">
        <f>'W-Mielie '!A11</f>
        <v>Kalk / Lime</v>
      </c>
      <c r="B13" s="288">
        <f>'W-Mielie '!I11</f>
        <v>800</v>
      </c>
      <c r="C13" s="289">
        <f>'W-BT Mielies'!H11</f>
        <v>800</v>
      </c>
      <c r="D13" s="289">
        <f>Sonneblom!E11</f>
        <v>800</v>
      </c>
      <c r="E13" s="289">
        <f>Sojabone!G11</f>
        <v>800</v>
      </c>
      <c r="F13" s="289">
        <f>'Bes-mielies'!C11</f>
        <v>800</v>
      </c>
    </row>
    <row r="14" spans="1:11" x14ac:dyDescent="0.3">
      <c r="A14" s="320" t="str">
        <f>'W-Mielie '!A12</f>
        <v>Brandstof / Fuel</v>
      </c>
      <c r="B14" s="288">
        <f>'W-Mielie '!I12</f>
        <v>1654.496768</v>
      </c>
      <c r="C14" s="289">
        <f>'W-BT Mielies'!H12</f>
        <v>1654.496768</v>
      </c>
      <c r="D14" s="289">
        <f>Sonneblom!E12</f>
        <v>1319.567468</v>
      </c>
      <c r="E14" s="289">
        <f>Sojabone!G12</f>
        <v>1396.160768</v>
      </c>
      <c r="F14" s="289">
        <f>'Bes-mielies'!C12</f>
        <v>1687.6167679999999</v>
      </c>
    </row>
    <row r="15" spans="1:11" x14ac:dyDescent="0.3">
      <c r="A15" s="320" t="str">
        <f>'W-Mielie '!A13</f>
        <v>Reparasie / Reparation</v>
      </c>
      <c r="B15" s="288">
        <f>'W-Mielie '!I13</f>
        <v>1362.7754</v>
      </c>
      <c r="C15" s="289">
        <f>'W-BT Mielies'!H13</f>
        <v>1362.7754</v>
      </c>
      <c r="D15" s="289">
        <f>Sonneblom!E13</f>
        <v>1219.7570666666666</v>
      </c>
      <c r="E15" s="289">
        <f>Sojabone!G13</f>
        <v>1195.2570666666666</v>
      </c>
      <c r="F15" s="289">
        <f>'Bes-mielies'!C13</f>
        <v>1381.7887333333333</v>
      </c>
    </row>
    <row r="16" spans="1:11" x14ac:dyDescent="0.3">
      <c r="A16" s="320" t="str">
        <f>'W-Mielie '!A14</f>
        <v>Onkruiddoders / Herbicide</v>
      </c>
      <c r="B16" s="288">
        <f>'W-Mielie '!I14</f>
        <v>1086.5</v>
      </c>
      <c r="C16" s="289">
        <f>'W-BT Mielies'!H14</f>
        <v>1086.5</v>
      </c>
      <c r="D16" s="289">
        <f>Sonneblom!E14</f>
        <v>991.5</v>
      </c>
      <c r="E16" s="289">
        <f>Sojabone!G14</f>
        <v>579</v>
      </c>
      <c r="F16" s="289">
        <f>'Bes-mielies'!C14</f>
        <v>1086.5</v>
      </c>
    </row>
    <row r="17" spans="1:12" x14ac:dyDescent="0.3">
      <c r="A17" s="320" t="str">
        <f>'W-Mielie '!A15</f>
        <v>Plaagdoder / Pesticides</v>
      </c>
      <c r="B17" s="288">
        <f>'W-Mielie '!I15</f>
        <v>327</v>
      </c>
      <c r="C17" s="289">
        <f>'W-BT Mielies'!H15</f>
        <v>327</v>
      </c>
      <c r="D17" s="289">
        <f>Sonneblom!E15</f>
        <v>428.16040000000004</v>
      </c>
      <c r="E17" s="289">
        <f>Sojabone!G15</f>
        <v>675.5</v>
      </c>
      <c r="F17" s="289">
        <f>'Bes-mielies'!C15</f>
        <v>327</v>
      </c>
    </row>
    <row r="18" spans="1:12" x14ac:dyDescent="0.3">
      <c r="A18" s="320" t="str">
        <f>'W-Mielie '!A16</f>
        <v>Insetversekering / Input insurance</v>
      </c>
      <c r="B18" s="288"/>
      <c r="C18" s="289"/>
      <c r="D18" s="289"/>
      <c r="E18" s="289"/>
      <c r="F18" s="289"/>
    </row>
    <row r="19" spans="1:12" x14ac:dyDescent="0.3">
      <c r="A19" s="320" t="str">
        <f>'W-Mielie '!A17</f>
        <v>Besproeiingskoste / Irrigation cost</v>
      </c>
      <c r="B19" s="288"/>
      <c r="C19" s="289"/>
      <c r="D19" s="289"/>
      <c r="E19" s="289"/>
      <c r="F19" s="289">
        <f>'Bes-mielies'!C17</f>
        <v>11848.4</v>
      </c>
    </row>
    <row r="20" spans="1:12" x14ac:dyDescent="0.3">
      <c r="A20" s="320" t="str">
        <f>'W-Mielie '!A18</f>
        <v>Graanprysverskansing / Grain hedging</v>
      </c>
      <c r="B20" s="288">
        <f>'W-Mielie '!I18</f>
        <v>1541.730111512928</v>
      </c>
      <c r="C20" s="289">
        <f>'W-BT Mielies'!H18</f>
        <v>1629.074326913812</v>
      </c>
      <c r="D20" s="289">
        <f>Sonneblom!E18</f>
        <v>347.44722295921514</v>
      </c>
      <c r="E20" s="289">
        <f>Sojabone!G18</f>
        <v>605.87961377176566</v>
      </c>
      <c r="F20" s="289">
        <f>'Bes-mielies'!C18</f>
        <v>3189.6391727180849</v>
      </c>
    </row>
    <row r="21" spans="1:12" x14ac:dyDescent="0.3">
      <c r="A21" s="320" t="str">
        <f>'W-Mielie '!A19</f>
        <v>Kontrakstroop / Contract Harvesting</v>
      </c>
      <c r="B21" s="288"/>
      <c r="C21" s="289"/>
      <c r="D21" s="289"/>
      <c r="E21" s="289"/>
      <c r="F21" s="289"/>
    </row>
    <row r="22" spans="1:12" x14ac:dyDescent="0.3">
      <c r="A22" s="320" t="str">
        <f>'W-Mielie '!A20</f>
        <v>Oesversekering / Harvest insurance</v>
      </c>
      <c r="B22" s="288">
        <f>'W-Mielie '!I20</f>
        <v>709.53750000000002</v>
      </c>
      <c r="C22" s="289">
        <f>'W-BT Mielies'!H20</f>
        <v>747.10912500000018</v>
      </c>
      <c r="D22" s="289">
        <f>Sonneblom!E20</f>
        <v>511.83329999999989</v>
      </c>
      <c r="E22" s="289">
        <f>Sojabone!G20</f>
        <v>1324.9511</v>
      </c>
      <c r="F22" s="289">
        <f>'Bes-mielies'!C20</f>
        <v>946.05000000000007</v>
      </c>
    </row>
    <row r="23" spans="1:12" x14ac:dyDescent="0.3">
      <c r="A23" s="320" t="str">
        <f>'W-Mielie '!A21</f>
        <v>Lugspuit / Aerial spray</v>
      </c>
      <c r="B23" s="288">
        <f>'W-Mielie '!I21</f>
        <v>200</v>
      </c>
      <c r="C23" s="289">
        <f>'W-BT Mielies'!H21</f>
        <v>200</v>
      </c>
      <c r="D23" s="289">
        <f>Sonneblom!E21</f>
        <v>200</v>
      </c>
      <c r="E23" s="289">
        <f>Sojabone!G21</f>
        <v>200</v>
      </c>
      <c r="F23" s="289">
        <f>'Bes-mielies'!C21</f>
        <v>200</v>
      </c>
    </row>
    <row r="24" spans="1:12" x14ac:dyDescent="0.3">
      <c r="A24" s="320" t="str">
        <f>'W-Mielie '!A22</f>
        <v>Losarbeid / Casual labour</v>
      </c>
      <c r="B24" s="288">
        <f>'W-Mielie '!I22</f>
        <v>300</v>
      </c>
      <c r="C24" s="289">
        <f>'W-BT Mielies'!H22</f>
        <v>300</v>
      </c>
      <c r="D24" s="289">
        <f>Sonneblom!E22</f>
        <v>300</v>
      </c>
      <c r="E24" s="289">
        <f>Sojabone!G22</f>
        <v>300</v>
      </c>
      <c r="F24" s="289">
        <f>'Bes-mielies'!C22</f>
        <v>300</v>
      </c>
    </row>
    <row r="25" spans="1:12" x14ac:dyDescent="0.3">
      <c r="A25" s="320" t="str">
        <f>'W-Mielie '!A23</f>
        <v>Droogkoste / Drying cost</v>
      </c>
      <c r="B25" s="288"/>
      <c r="C25" s="289"/>
      <c r="D25" s="289"/>
      <c r="E25" s="289"/>
      <c r="F25" s="289"/>
    </row>
    <row r="26" spans="1:12" x14ac:dyDescent="0.3">
      <c r="A26" s="320" t="str">
        <f>'W-Mielie '!A24</f>
        <v>Verpakking en Pakmateriaal / Packaging and packaging material</v>
      </c>
      <c r="B26" s="288"/>
      <c r="C26" s="289"/>
      <c r="D26" s="289"/>
      <c r="E26" s="289"/>
      <c r="F26" s="289"/>
    </row>
    <row r="27" spans="1:12" x14ac:dyDescent="0.3">
      <c r="A27" s="320" t="str">
        <f>'W-Mielie '!A25</f>
        <v>Produksiekrediet rente / Interest on production R/ha</v>
      </c>
      <c r="B27" s="288">
        <f>'W-Mielie '!I25</f>
        <v>1704.2787960188173</v>
      </c>
      <c r="C27" s="289">
        <f>'W-BT Mielies'!H25</f>
        <v>1800.8319431299867</v>
      </c>
      <c r="D27" s="289">
        <f>Sonneblom!E25</f>
        <v>528.79043001899174</v>
      </c>
      <c r="E27" s="289">
        <f>Sojabone!G25</f>
        <v>761.29686594896373</v>
      </c>
      <c r="F27" s="289">
        <f>'Bes-mielies'!C25</f>
        <v>2350.6208462041627</v>
      </c>
    </row>
    <row r="28" spans="1:12" x14ac:dyDescent="0.3">
      <c r="A28" s="283" t="s">
        <v>96</v>
      </c>
      <c r="B28" s="284">
        <f>SUM(B11:B27)</f>
        <v>20178.845690531743</v>
      </c>
      <c r="C28" s="285">
        <f>SUM(C11:C27)</f>
        <v>21322.045418793794</v>
      </c>
      <c r="D28" s="285">
        <f>SUM(D11:D27)</f>
        <v>9127.0088043115393</v>
      </c>
      <c r="E28" s="285">
        <f>SUM(E11:E27)</f>
        <v>13140.107694387396</v>
      </c>
      <c r="F28" s="285">
        <f>SUM(F11:F27)</f>
        <v>40572.09802025558</v>
      </c>
    </row>
    <row r="29" spans="1:12" ht="10.95" customHeight="1" thickBot="1" x14ac:dyDescent="0.35">
      <c r="A29" s="273"/>
      <c r="B29" s="286"/>
      <c r="C29" s="287"/>
      <c r="D29" s="287"/>
      <c r="E29" s="287"/>
      <c r="F29" s="287"/>
    </row>
    <row r="30" spans="1:12" ht="15" thickTop="1" x14ac:dyDescent="0.3">
      <c r="A30" s="283" t="s">
        <v>97</v>
      </c>
      <c r="B30" s="284">
        <f>'W-Mielie '!I28</f>
        <v>7499.1823569000007</v>
      </c>
      <c r="C30" s="285">
        <f>'W-BT Mielies'!C28</f>
        <v>6856.4322200999995</v>
      </c>
      <c r="D30" s="285">
        <f>Sonneblom!D28</f>
        <v>5786.3480645999998</v>
      </c>
      <c r="E30" s="285">
        <f>Sojabone!D28</f>
        <v>4226.6698500000002</v>
      </c>
      <c r="F30" s="285">
        <f>'Bes-mielies'!C28</f>
        <v>6807.9428100000005</v>
      </c>
      <c r="H30" s="321"/>
      <c r="I30" s="321"/>
      <c r="J30" s="321"/>
      <c r="K30" s="321"/>
      <c r="L30" s="321"/>
    </row>
    <row r="31" spans="1:12" ht="11.4" customHeight="1" x14ac:dyDescent="0.3">
      <c r="A31" s="273"/>
      <c r="B31" s="288"/>
      <c r="C31" s="289"/>
      <c r="D31" s="289"/>
      <c r="E31" s="289"/>
      <c r="F31" s="289"/>
    </row>
    <row r="32" spans="1:12" ht="15" thickBot="1" x14ac:dyDescent="0.35">
      <c r="A32" s="283" t="s">
        <v>98</v>
      </c>
      <c r="B32" s="290">
        <f>B28+B30</f>
        <v>27678.028047431744</v>
      </c>
      <c r="C32" s="291">
        <f>C28+C30</f>
        <v>28178.477638893793</v>
      </c>
      <c r="D32" s="291">
        <f>D28+D30</f>
        <v>14913.356868911538</v>
      </c>
      <c r="E32" s="291">
        <f>E28+E30</f>
        <v>17366.777544387398</v>
      </c>
      <c r="F32" s="291">
        <f>F28+F30</f>
        <v>47380.040830255581</v>
      </c>
    </row>
    <row r="33" spans="1:6" ht="13.95" customHeight="1" thickTop="1" thickBot="1" x14ac:dyDescent="0.35">
      <c r="A33" s="292"/>
      <c r="B33" s="286"/>
      <c r="C33" s="287"/>
      <c r="D33" s="287"/>
      <c r="E33" s="287"/>
      <c r="F33" s="287"/>
    </row>
    <row r="34" spans="1:6" ht="15" thickTop="1" x14ac:dyDescent="0.3">
      <c r="A34" s="293" t="s">
        <v>99</v>
      </c>
      <c r="B34" s="294">
        <f>B8-B28</f>
        <v>862.40430946825654</v>
      </c>
      <c r="C34" s="295">
        <f>C8-C28</f>
        <v>-280.79541879379394</v>
      </c>
      <c r="D34" s="295">
        <f>D8-D28</f>
        <v>4471.0926356884593</v>
      </c>
      <c r="E34" s="295">
        <f>E8-E28</f>
        <v>2704.7486956126031</v>
      </c>
      <c r="F34" s="295">
        <f>F8-F28</f>
        <v>-13422.09802025558</v>
      </c>
    </row>
    <row r="35" spans="1:6" x14ac:dyDescent="0.3">
      <c r="A35" s="273" t="s">
        <v>100</v>
      </c>
      <c r="B35" s="296">
        <f>B8-B32</f>
        <v>-6636.7780474317442</v>
      </c>
      <c r="C35" s="297">
        <f>C8-C32</f>
        <v>-7137.2276388937935</v>
      </c>
      <c r="D35" s="297">
        <f>D8-D32</f>
        <v>-1315.2554289115396</v>
      </c>
      <c r="E35" s="297">
        <f>E8-E32</f>
        <v>-1521.9211543873989</v>
      </c>
      <c r="F35" s="295">
        <f>F8-F32</f>
        <v>-20230.040830255581</v>
      </c>
    </row>
    <row r="36" spans="1:6" ht="15" thickBot="1" x14ac:dyDescent="0.35">
      <c r="A36" s="273"/>
      <c r="B36" s="298"/>
      <c r="C36" s="298"/>
      <c r="D36" s="298"/>
      <c r="E36" s="298"/>
      <c r="F36" s="298"/>
    </row>
    <row r="37" spans="1:6" ht="54" customHeight="1" thickBot="1" x14ac:dyDescent="0.35">
      <c r="A37" s="306" t="s">
        <v>137</v>
      </c>
      <c r="B37" s="307"/>
      <c r="C37" s="307"/>
      <c r="D37" s="307"/>
      <c r="E37" s="307"/>
      <c r="F37" s="308"/>
    </row>
    <row r="38" spans="1:6" ht="9.75" customHeight="1" x14ac:dyDescent="0.3">
      <c r="A38" s="322"/>
      <c r="B38" s="322"/>
      <c r="C38" s="322"/>
      <c r="D38" s="322"/>
      <c r="E38" s="322"/>
      <c r="F38" s="323"/>
    </row>
    <row r="39" spans="1:6" x14ac:dyDescent="0.3">
      <c r="A39" s="324"/>
      <c r="B39" s="324"/>
      <c r="C39" s="324"/>
      <c r="D39" s="324"/>
      <c r="E39" s="324"/>
      <c r="F39" s="324"/>
    </row>
    <row r="40" spans="1:6" x14ac:dyDescent="0.3">
      <c r="A40" s="324"/>
      <c r="B40" s="324"/>
      <c r="C40" s="324"/>
      <c r="D40" s="324"/>
      <c r="E40" s="324"/>
      <c r="F40" s="324"/>
    </row>
    <row r="41" spans="1:6" x14ac:dyDescent="0.3">
      <c r="A41" s="324"/>
      <c r="B41" s="324"/>
      <c r="C41" s="324"/>
      <c r="D41" s="324"/>
      <c r="E41" s="324"/>
      <c r="F41" s="324"/>
    </row>
    <row r="42" spans="1:6" x14ac:dyDescent="0.3">
      <c r="A42" s="324"/>
      <c r="B42" s="324"/>
      <c r="C42" s="324"/>
      <c r="D42" s="324"/>
      <c r="E42" s="324"/>
      <c r="F42" s="324"/>
    </row>
    <row r="43" spans="1:6" x14ac:dyDescent="0.3">
      <c r="A43" s="324"/>
      <c r="B43" s="324"/>
      <c r="C43" s="324"/>
      <c r="D43" s="324"/>
      <c r="E43" s="324"/>
      <c r="F43" s="324"/>
    </row>
    <row r="44" spans="1:6" x14ac:dyDescent="0.3">
      <c r="A44" s="324"/>
      <c r="B44" s="324"/>
      <c r="C44" s="324"/>
      <c r="D44" s="324"/>
      <c r="E44" s="324"/>
      <c r="F44" s="324"/>
    </row>
    <row r="45" spans="1:6" x14ac:dyDescent="0.3">
      <c r="A45" s="324"/>
      <c r="B45" s="324"/>
      <c r="C45" s="324"/>
      <c r="D45" s="324"/>
      <c r="E45" s="324"/>
      <c r="F45" s="324"/>
    </row>
    <row r="46" spans="1:6" x14ac:dyDescent="0.3">
      <c r="A46" s="324"/>
      <c r="B46" s="324"/>
      <c r="C46" s="324"/>
      <c r="D46" s="324"/>
      <c r="E46" s="324"/>
      <c r="F46" s="324"/>
    </row>
    <row r="47" spans="1:6" x14ac:dyDescent="0.3">
      <c r="A47" s="324"/>
      <c r="B47" s="324"/>
      <c r="C47" s="324"/>
      <c r="D47" s="324"/>
      <c r="E47" s="324"/>
      <c r="F47" s="324"/>
    </row>
    <row r="48" spans="1:6" x14ac:dyDescent="0.3">
      <c r="A48" s="324"/>
      <c r="B48" s="324"/>
      <c r="C48" s="324"/>
      <c r="D48" s="324"/>
      <c r="E48" s="324"/>
      <c r="F48" s="324"/>
    </row>
    <row r="49" spans="1:6" x14ac:dyDescent="0.3">
      <c r="A49" s="324"/>
      <c r="B49" s="324"/>
      <c r="C49" s="324"/>
      <c r="D49" s="324"/>
      <c r="E49" s="324"/>
      <c r="F49" s="324"/>
    </row>
    <row r="50" spans="1:6" x14ac:dyDescent="0.3">
      <c r="A50" s="324"/>
      <c r="B50" s="324"/>
      <c r="C50" s="324"/>
      <c r="D50" s="324"/>
      <c r="E50" s="324"/>
      <c r="F50" s="324"/>
    </row>
    <row r="51" spans="1:6" x14ac:dyDescent="0.3">
      <c r="A51" s="324"/>
      <c r="B51" s="324"/>
      <c r="C51" s="324"/>
      <c r="D51" s="324"/>
      <c r="E51" s="324"/>
      <c r="F51" s="324"/>
    </row>
    <row r="52" spans="1:6" x14ac:dyDescent="0.3">
      <c r="A52" s="324"/>
      <c r="B52" s="324"/>
      <c r="C52" s="324"/>
      <c r="D52" s="324"/>
      <c r="E52" s="324"/>
      <c r="F52" s="324"/>
    </row>
    <row r="53" spans="1:6" x14ac:dyDescent="0.3">
      <c r="A53" s="324"/>
      <c r="B53" s="324"/>
      <c r="C53" s="324"/>
      <c r="D53" s="324"/>
      <c r="E53" s="324"/>
      <c r="F53" s="324"/>
    </row>
    <row r="54" spans="1:6" x14ac:dyDescent="0.3">
      <c r="A54" s="324"/>
      <c r="B54" s="324"/>
      <c r="C54" s="324"/>
      <c r="D54" s="324"/>
      <c r="E54" s="324"/>
      <c r="F54" s="324"/>
    </row>
    <row r="55" spans="1:6" x14ac:dyDescent="0.3">
      <c r="A55" s="324"/>
      <c r="B55" s="324"/>
      <c r="C55" s="324"/>
      <c r="D55" s="324"/>
      <c r="E55" s="324"/>
      <c r="F55" s="324"/>
    </row>
    <row r="56" spans="1:6" x14ac:dyDescent="0.3">
      <c r="A56" s="324"/>
      <c r="B56" s="324"/>
      <c r="C56" s="324"/>
      <c r="D56" s="324"/>
      <c r="E56" s="324"/>
      <c r="F56" s="324"/>
    </row>
    <row r="57" spans="1:6" x14ac:dyDescent="0.3">
      <c r="A57" s="324"/>
      <c r="B57" s="324"/>
      <c r="C57" s="324"/>
      <c r="D57" s="324"/>
      <c r="E57" s="324"/>
      <c r="F57" s="324"/>
    </row>
    <row r="58" spans="1:6" x14ac:dyDescent="0.3">
      <c r="A58" s="299" t="s">
        <v>101</v>
      </c>
      <c r="B58" s="325"/>
      <c r="C58" s="325"/>
      <c r="D58" s="325"/>
      <c r="E58" s="325"/>
      <c r="F58" s="325"/>
    </row>
    <row r="59" spans="1:6" ht="27" customHeight="1" thickBot="1" x14ac:dyDescent="0.35">
      <c r="A59" s="300"/>
      <c r="B59" s="301" t="str">
        <f>B2</f>
        <v>Maize (conven)</v>
      </c>
      <c r="C59" s="301" t="str">
        <f>C2</f>
        <v>Maize (Bt)</v>
      </c>
      <c r="D59" s="301" t="str">
        <f>D2</f>
        <v>Sunflower</v>
      </c>
      <c r="E59" s="301" t="str">
        <f>E2</f>
        <v>Soy bean</v>
      </c>
      <c r="F59" s="301" t="str">
        <f>F2</f>
        <v>Irr-Maize</v>
      </c>
    </row>
    <row r="60" spans="1:6" x14ac:dyDescent="0.3">
      <c r="A60" s="326" t="s">
        <v>88</v>
      </c>
      <c r="B60" s="327">
        <f>B5</f>
        <v>3800</v>
      </c>
      <c r="C60" s="327">
        <f>C5</f>
        <v>3800</v>
      </c>
      <c r="D60" s="327">
        <f>D5</f>
        <v>10000</v>
      </c>
      <c r="E60" s="327">
        <f>E5</f>
        <v>7900</v>
      </c>
      <c r="F60" s="328">
        <f>F5</f>
        <v>3800</v>
      </c>
    </row>
    <row r="61" spans="1:6" x14ac:dyDescent="0.3">
      <c r="A61" s="329" t="s">
        <v>102</v>
      </c>
      <c r="B61" s="330">
        <f>B4</f>
        <v>6.2</v>
      </c>
      <c r="C61" s="330">
        <f>C4</f>
        <v>6.2</v>
      </c>
      <c r="D61" s="330">
        <f>D4</f>
        <v>1.4279999999999999</v>
      </c>
      <c r="E61" s="330">
        <f>E4</f>
        <v>2.0329999999999999</v>
      </c>
      <c r="F61" s="331">
        <f>F4</f>
        <v>8</v>
      </c>
    </row>
    <row r="62" spans="1:6" x14ac:dyDescent="0.3">
      <c r="A62" s="329"/>
      <c r="B62" s="330"/>
      <c r="C62" s="330"/>
      <c r="D62" s="330"/>
      <c r="E62" s="330"/>
      <c r="F62" s="331"/>
    </row>
    <row r="63" spans="1:6" x14ac:dyDescent="0.3">
      <c r="A63" s="302" t="s">
        <v>84</v>
      </c>
      <c r="B63" s="332"/>
      <c r="C63" s="332"/>
      <c r="D63" s="332"/>
      <c r="E63" s="332"/>
      <c r="F63" s="333"/>
    </row>
    <row r="64" spans="1:6" x14ac:dyDescent="0.3">
      <c r="A64" s="329" t="s">
        <v>103</v>
      </c>
      <c r="B64" s="334">
        <f>B7</f>
        <v>3393.75</v>
      </c>
      <c r="C64" s="334">
        <f>C7</f>
        <v>3393.75</v>
      </c>
      <c r="D64" s="334">
        <f>D7</f>
        <v>9522.48</v>
      </c>
      <c r="E64" s="334">
        <f>E7</f>
        <v>7793.83</v>
      </c>
      <c r="F64" s="335">
        <f>F7</f>
        <v>3393.75</v>
      </c>
    </row>
    <row r="65" spans="1:6" x14ac:dyDescent="0.3">
      <c r="A65" s="329" t="s">
        <v>104</v>
      </c>
      <c r="B65" s="334">
        <f>B64/B61</f>
        <v>547.37903225806451</v>
      </c>
      <c r="C65" s="334">
        <f>C64/C61</f>
        <v>547.37903225806451</v>
      </c>
      <c r="D65" s="334">
        <f>D64/D61</f>
        <v>6668.4033613445381</v>
      </c>
      <c r="E65" s="334">
        <f>E64/E61</f>
        <v>3833.6596163305462</v>
      </c>
      <c r="F65" s="335">
        <f>F64/F61</f>
        <v>424.21875</v>
      </c>
    </row>
    <row r="66" spans="1:6" x14ac:dyDescent="0.3">
      <c r="A66" s="329"/>
      <c r="B66" s="334"/>
      <c r="C66" s="334"/>
      <c r="D66" s="334"/>
      <c r="E66" s="334"/>
      <c r="F66" s="335"/>
    </row>
    <row r="67" spans="1:6" x14ac:dyDescent="0.3">
      <c r="A67" s="303" t="s">
        <v>105</v>
      </c>
      <c r="B67" s="332"/>
      <c r="C67" s="332"/>
      <c r="D67" s="332"/>
      <c r="E67" s="332"/>
      <c r="F67" s="333"/>
    </row>
    <row r="68" spans="1:6" x14ac:dyDescent="0.3">
      <c r="A68" s="336" t="s">
        <v>106</v>
      </c>
      <c r="B68" s="334">
        <f>B28</f>
        <v>20178.845690531743</v>
      </c>
      <c r="C68" s="334">
        <f>C28</f>
        <v>21322.045418793794</v>
      </c>
      <c r="D68" s="334">
        <f>D28</f>
        <v>9127.0088043115393</v>
      </c>
      <c r="E68" s="334">
        <f>E28</f>
        <v>13140.107694387396</v>
      </c>
      <c r="F68" s="335">
        <f>F28</f>
        <v>40572.09802025558</v>
      </c>
    </row>
    <row r="69" spans="1:6" x14ac:dyDescent="0.3">
      <c r="A69" s="336" t="s">
        <v>107</v>
      </c>
      <c r="B69" s="334">
        <f>B68/B61</f>
        <v>3254.6525307309262</v>
      </c>
      <c r="C69" s="334">
        <f>C68/C61</f>
        <v>3439.0395836764183</v>
      </c>
      <c r="D69" s="334">
        <f>D68/D61</f>
        <v>6391.4627481173247</v>
      </c>
      <c r="E69" s="334">
        <f>E68/E61</f>
        <v>6463.4076214399392</v>
      </c>
      <c r="F69" s="335">
        <f>F68/F61</f>
        <v>5071.5122525319475</v>
      </c>
    </row>
    <row r="70" spans="1:6" x14ac:dyDescent="0.3">
      <c r="A70" s="329"/>
      <c r="B70" s="334"/>
      <c r="C70" s="334"/>
      <c r="D70" s="334"/>
      <c r="E70" s="334"/>
      <c r="F70" s="335"/>
    </row>
    <row r="71" spans="1:6" x14ac:dyDescent="0.3">
      <c r="A71" s="329" t="s">
        <v>108</v>
      </c>
      <c r="B71" s="334">
        <f>B32</f>
        <v>27678.028047431744</v>
      </c>
      <c r="C71" s="334">
        <f>C32</f>
        <v>28178.477638893793</v>
      </c>
      <c r="D71" s="334">
        <f>D32</f>
        <v>14913.356868911538</v>
      </c>
      <c r="E71" s="334">
        <f>E32</f>
        <v>17366.777544387398</v>
      </c>
      <c r="F71" s="335">
        <f>F32</f>
        <v>47380.040830255581</v>
      </c>
    </row>
    <row r="72" spans="1:6" x14ac:dyDescent="0.3">
      <c r="A72" s="329" t="s">
        <v>109</v>
      </c>
      <c r="B72" s="334">
        <f>B71/B61</f>
        <v>4464.1980721664104</v>
      </c>
      <c r="C72" s="334">
        <f>C71/C61</f>
        <v>4544.9157482086766</v>
      </c>
      <c r="D72" s="334">
        <f>D71/D61</f>
        <v>10443.527219125728</v>
      </c>
      <c r="E72" s="334">
        <f>E71/E61</f>
        <v>8542.4385363440233</v>
      </c>
      <c r="F72" s="335">
        <f>F71/F61</f>
        <v>5922.5051037819476</v>
      </c>
    </row>
    <row r="73" spans="1:6" x14ac:dyDescent="0.3">
      <c r="A73" s="329"/>
      <c r="B73" s="334"/>
      <c r="C73" s="334"/>
      <c r="D73" s="334"/>
      <c r="E73" s="334"/>
      <c r="F73" s="335"/>
    </row>
    <row r="74" spans="1:6" x14ac:dyDescent="0.3">
      <c r="A74" s="309" t="s">
        <v>110</v>
      </c>
      <c r="B74" s="337"/>
      <c r="C74" s="337"/>
      <c r="D74" s="337"/>
      <c r="E74" s="337"/>
      <c r="F74" s="338"/>
    </row>
    <row r="75" spans="1:6" x14ac:dyDescent="0.3">
      <c r="A75" s="336" t="s">
        <v>111</v>
      </c>
      <c r="B75" s="334">
        <f>B34</f>
        <v>862.40430946825654</v>
      </c>
      <c r="C75" s="334">
        <f>C34</f>
        <v>-280.79541879379394</v>
      </c>
      <c r="D75" s="334">
        <f>D34</f>
        <v>4471.0926356884593</v>
      </c>
      <c r="E75" s="334">
        <f>E34</f>
        <v>2704.7486956126031</v>
      </c>
      <c r="F75" s="335">
        <f>F34</f>
        <v>-13422.09802025558</v>
      </c>
    </row>
    <row r="76" spans="1:6" x14ac:dyDescent="0.3">
      <c r="A76" s="336" t="s">
        <v>112</v>
      </c>
      <c r="B76" s="334">
        <f>B75/B61</f>
        <v>139.09746926907363</v>
      </c>
      <c r="C76" s="334">
        <f>C75/C61</f>
        <v>-45.289583676418374</v>
      </c>
      <c r="D76" s="334">
        <f>D75/D61</f>
        <v>3131.0172518826748</v>
      </c>
      <c r="E76" s="334">
        <f>E75/E61</f>
        <v>1330.4223785600607</v>
      </c>
      <c r="F76" s="335">
        <f>F75/F61</f>
        <v>-1677.7622525319475</v>
      </c>
    </row>
    <row r="77" spans="1:6" x14ac:dyDescent="0.3">
      <c r="A77" s="329"/>
      <c r="B77" s="334"/>
      <c r="C77" s="334"/>
      <c r="D77" s="334"/>
      <c r="E77" s="334"/>
      <c r="F77" s="335"/>
    </row>
    <row r="78" spans="1:6" x14ac:dyDescent="0.3">
      <c r="A78" s="329" t="s">
        <v>113</v>
      </c>
      <c r="B78" s="334">
        <f>B35</f>
        <v>-6636.7780474317442</v>
      </c>
      <c r="C78" s="334">
        <f>C35</f>
        <v>-7137.2276388937935</v>
      </c>
      <c r="D78" s="334">
        <f>D35</f>
        <v>-1315.2554289115396</v>
      </c>
      <c r="E78" s="334">
        <f>E35</f>
        <v>-1521.9211543873989</v>
      </c>
      <c r="F78" s="335">
        <f>F35</f>
        <v>-20230.040830255581</v>
      </c>
    </row>
    <row r="79" spans="1:6" x14ac:dyDescent="0.3">
      <c r="A79" s="329" t="s">
        <v>114</v>
      </c>
      <c r="B79" s="334">
        <f>B78/B4</f>
        <v>-1070.4480721664104</v>
      </c>
      <c r="C79" s="334">
        <f>C78/C4</f>
        <v>-1151.1657482086764</v>
      </c>
      <c r="D79" s="334">
        <f>D78/D4</f>
        <v>-921.04721912572813</v>
      </c>
      <c r="E79" s="334">
        <f>E78/E4</f>
        <v>-748.60853634402315</v>
      </c>
      <c r="F79" s="335">
        <f>F78/F4</f>
        <v>-2528.7551037819476</v>
      </c>
    </row>
    <row r="80" spans="1:6" x14ac:dyDescent="0.3">
      <c r="A80" s="329"/>
      <c r="B80" s="334"/>
      <c r="C80" s="334"/>
      <c r="D80" s="334"/>
      <c r="E80" s="334"/>
      <c r="F80" s="335"/>
    </row>
    <row r="81" spans="1:6" x14ac:dyDescent="0.3">
      <c r="A81" s="304" t="s">
        <v>115</v>
      </c>
      <c r="B81" s="337"/>
      <c r="C81" s="337"/>
      <c r="D81" s="337"/>
      <c r="E81" s="337"/>
      <c r="F81" s="338"/>
    </row>
    <row r="82" spans="1:6" ht="15" thickBot="1" x14ac:dyDescent="0.35">
      <c r="A82" s="336" t="s">
        <v>116</v>
      </c>
      <c r="B82" s="339">
        <f>B68/B64</f>
        <v>5.9458845496962782</v>
      </c>
      <c r="C82" s="339">
        <f>C68/C64</f>
        <v>6.2827389815966983</v>
      </c>
      <c r="D82" s="339">
        <f t="shared" ref="D82:E82" si="1">D68/D64</f>
        <v>0.95846972682657661</v>
      </c>
      <c r="E82" s="339">
        <f t="shared" si="1"/>
        <v>1.6859628314175952</v>
      </c>
      <c r="F82" s="340">
        <f>F68/F61</f>
        <v>5071.5122525319475</v>
      </c>
    </row>
    <row r="83" spans="1:6" ht="15.6" thickTop="1" thickBot="1" x14ac:dyDescent="0.35">
      <c r="A83" s="336" t="s">
        <v>117</v>
      </c>
      <c r="B83" s="341">
        <f>B69+B6</f>
        <v>3660.9025307309262</v>
      </c>
      <c r="C83" s="341">
        <f>C69+C6</f>
        <v>3845.2895836764183</v>
      </c>
      <c r="D83" s="341">
        <f>D69+D6</f>
        <v>6868.9827481173252</v>
      </c>
      <c r="E83" s="341">
        <f>E69+E6</f>
        <v>6569.5776214399393</v>
      </c>
      <c r="F83" s="342">
        <f>F69+F6</f>
        <v>5477.7622525319475</v>
      </c>
    </row>
    <row r="84" spans="1:6" ht="15.6" thickTop="1" thickBot="1" x14ac:dyDescent="0.35">
      <c r="A84" s="304" t="s">
        <v>118</v>
      </c>
      <c r="B84" s="343"/>
      <c r="C84" s="343"/>
      <c r="D84" s="343"/>
      <c r="E84" s="343"/>
      <c r="F84" s="344"/>
    </row>
    <row r="85" spans="1:6" ht="15.6" thickTop="1" thickBot="1" x14ac:dyDescent="0.35">
      <c r="A85" s="329" t="s">
        <v>116</v>
      </c>
      <c r="B85" s="345">
        <f>B71/B64</f>
        <v>8.1555883749338474</v>
      </c>
      <c r="C85" s="345">
        <f>C71/C64</f>
        <v>8.303050501331505</v>
      </c>
      <c r="D85" s="345">
        <f>D71/D64</f>
        <v>1.5661211017415146</v>
      </c>
      <c r="E85" s="345">
        <f>E71/E64</f>
        <v>2.2282725623201172</v>
      </c>
      <c r="F85" s="346">
        <f>F71/F64</f>
        <v>13.960969673740134</v>
      </c>
    </row>
    <row r="86" spans="1:6" ht="15.6" thickTop="1" thickBot="1" x14ac:dyDescent="0.35">
      <c r="A86" s="347" t="s">
        <v>117</v>
      </c>
      <c r="B86" s="348">
        <f>B72+B6</f>
        <v>4870.4480721664104</v>
      </c>
      <c r="C86" s="348">
        <f>C72+C6</f>
        <v>4951.1657482086766</v>
      </c>
      <c r="D86" s="348">
        <f>D72+D6</f>
        <v>10921.047219125729</v>
      </c>
      <c r="E86" s="348">
        <f>E72+E6</f>
        <v>8648.6085363440234</v>
      </c>
      <c r="F86" s="349">
        <f>F72+F6</f>
        <v>6328.7551037819476</v>
      </c>
    </row>
  </sheetData>
  <mergeCells count="1">
    <mergeCell ref="A37:F37"/>
  </mergeCells>
  <conditionalFormatting sqref="B35:E36 F35 B34:F34">
    <cfRule type="colorScale" priority="2">
      <colorScale>
        <cfvo type="min"/>
        <cfvo type="percentile" val="50"/>
        <cfvo type="max"/>
        <color rgb="FFF8696B"/>
        <color rgb="FFFFEB84"/>
        <color rgb="FF63BE7B"/>
      </colorScale>
    </cfRule>
  </conditionalFormatting>
  <conditionalFormatting sqref="B34:F36">
    <cfRule type="colorScale" priority="4">
      <colorScale>
        <cfvo type="min"/>
        <cfvo type="percentile" val="50"/>
        <cfvo type="max"/>
        <color rgb="FFF8696B"/>
        <color rgb="FFFFEB84"/>
        <color rgb="FF63BE7B"/>
      </colorScale>
    </cfRule>
  </conditionalFormatting>
  <conditionalFormatting sqref="F34:F36">
    <cfRule type="colorScale" priority="3">
      <colorScale>
        <cfvo type="min"/>
        <cfvo type="percentile" val="50"/>
        <cfvo type="max"/>
        <color rgb="FFF8696B"/>
        <color rgb="FFFFEB84"/>
        <color rgb="FF63BE7B"/>
      </colorScale>
    </cfRule>
  </conditionalFormatting>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BD75F-79E7-429D-BF9B-90C254243D8B}">
  <dimension ref="A1:F41"/>
  <sheetViews>
    <sheetView zoomScale="70" zoomScaleNormal="70" zoomScaleSheetLayoutView="70" workbookViewId="0">
      <selection activeCell="AD31" sqref="AD31"/>
    </sheetView>
  </sheetViews>
  <sheetFormatPr defaultColWidth="9.109375" defaultRowHeight="14.4" x14ac:dyDescent="0.3"/>
  <cols>
    <col min="1" max="1" width="20.88671875" style="53" bestFit="1" customWidth="1"/>
    <col min="2" max="2" width="7.6640625" style="53" bestFit="1" customWidth="1"/>
    <col min="3" max="3" width="9.109375" style="53" customWidth="1"/>
    <col min="4" max="5" width="9.109375" style="53"/>
    <col min="6" max="6" width="7.109375" style="53" bestFit="1" customWidth="1"/>
    <col min="7" max="16384" width="9.109375" style="53"/>
  </cols>
  <sheetData>
    <row r="1" spans="1:6" ht="18" x14ac:dyDescent="0.35">
      <c r="A1" s="77" t="s">
        <v>119</v>
      </c>
      <c r="B1" s="78"/>
      <c r="C1" s="79"/>
      <c r="D1" s="77" t="s">
        <v>120</v>
      </c>
      <c r="E1" s="78"/>
      <c r="F1" s="79"/>
    </row>
    <row r="2" spans="1:6" ht="18" x14ac:dyDescent="0.35">
      <c r="A2" s="57" t="s">
        <v>121</v>
      </c>
      <c r="B2" s="58">
        <v>0</v>
      </c>
      <c r="C2" s="59">
        <v>0</v>
      </c>
      <c r="D2" s="58" t="s">
        <v>122</v>
      </c>
      <c r="E2" s="58"/>
      <c r="F2" s="60">
        <f>((B4+B3+F7)/B7)*100</f>
        <v>42.749627048673567</v>
      </c>
    </row>
    <row r="3" spans="1:6" ht="18" x14ac:dyDescent="0.35">
      <c r="A3" s="57" t="s">
        <v>123</v>
      </c>
      <c r="B3" s="61">
        <f>'Crop Comparison'!C28</f>
        <v>21322.045418793794</v>
      </c>
      <c r="C3" s="60">
        <f>B3/$B$7*100</f>
        <v>43.320120694745491</v>
      </c>
      <c r="D3" s="58" t="s">
        <v>120</v>
      </c>
      <c r="E3" s="58"/>
      <c r="F3" s="59">
        <v>1</v>
      </c>
    </row>
    <row r="4" spans="1:6" ht="18" x14ac:dyDescent="0.35">
      <c r="A4" s="57" t="s">
        <v>124</v>
      </c>
      <c r="B4" s="61">
        <f>'Crop Comparison'!C30</f>
        <v>6856.4322200999995</v>
      </c>
      <c r="C4" s="60">
        <f>B4/$B$7*100</f>
        <v>13.93025225658095</v>
      </c>
      <c r="D4" s="58" t="s">
        <v>125</v>
      </c>
      <c r="E4" s="58"/>
      <c r="F4" s="60">
        <f>C7-F3-F2</f>
        <v>156.25037295132643</v>
      </c>
    </row>
    <row r="5" spans="1:6" ht="18" x14ac:dyDescent="0.35">
      <c r="A5" s="57" t="s">
        <v>126</v>
      </c>
      <c r="B5" s="61">
        <f>'Crop Comparison'!C8</f>
        <v>21041.25</v>
      </c>
      <c r="C5" s="60">
        <f>B5/$B$7*100</f>
        <v>42.749627048673567</v>
      </c>
      <c r="D5" s="57"/>
      <c r="E5" s="58"/>
      <c r="F5" s="59"/>
    </row>
    <row r="6" spans="1:6" ht="18" x14ac:dyDescent="0.35">
      <c r="A6" s="57" t="s">
        <v>127</v>
      </c>
      <c r="B6" s="58"/>
      <c r="C6" s="59">
        <v>100</v>
      </c>
      <c r="D6" s="57"/>
      <c r="E6" s="58"/>
      <c r="F6" s="59"/>
    </row>
    <row r="7" spans="1:6" ht="18.600000000000001" thickBot="1" x14ac:dyDescent="0.4">
      <c r="A7" s="62" t="s">
        <v>128</v>
      </c>
      <c r="B7" s="63">
        <f>SUM(B3:B5)</f>
        <v>49219.72763889379</v>
      </c>
      <c r="C7" s="64">
        <f>SUM(C2:C6)</f>
        <v>200</v>
      </c>
      <c r="D7" s="62" t="s">
        <v>129</v>
      </c>
      <c r="E7" s="65"/>
      <c r="F7" s="66">
        <f>B5-(B3+B4)</f>
        <v>-7137.2276388937935</v>
      </c>
    </row>
    <row r="17" spans="1:6" ht="15" thickBot="1" x14ac:dyDescent="0.35"/>
    <row r="18" spans="1:6" ht="18" x14ac:dyDescent="0.35">
      <c r="A18" s="80" t="s">
        <v>130</v>
      </c>
      <c r="B18" s="81"/>
      <c r="C18" s="82"/>
      <c r="D18" s="77" t="s">
        <v>120</v>
      </c>
      <c r="E18" s="78"/>
      <c r="F18" s="79"/>
    </row>
    <row r="19" spans="1:6" ht="18" x14ac:dyDescent="0.35">
      <c r="A19" s="57" t="s">
        <v>121</v>
      </c>
      <c r="B19" s="58">
        <v>0</v>
      </c>
      <c r="C19" s="59">
        <v>0</v>
      </c>
      <c r="D19" s="58" t="s">
        <v>122</v>
      </c>
      <c r="E19" s="58"/>
      <c r="F19" s="60">
        <f>((B21+B20+F24)/B24)*100</f>
        <v>47.693461669583485</v>
      </c>
    </row>
    <row r="20" spans="1:6" ht="18" x14ac:dyDescent="0.35">
      <c r="A20" s="57" t="s">
        <v>123</v>
      </c>
      <c r="B20" s="61">
        <f>'Crop Comparison'!D28</f>
        <v>9127.0088043115393</v>
      </c>
      <c r="C20" s="60">
        <f>B20/$B$24*100</f>
        <v>32.011722113346977</v>
      </c>
      <c r="D20" s="58" t="s">
        <v>120</v>
      </c>
      <c r="E20" s="58"/>
      <c r="F20" s="59">
        <v>1</v>
      </c>
    </row>
    <row r="21" spans="1:6" ht="18" x14ac:dyDescent="0.35">
      <c r="A21" s="57" t="s">
        <v>124</v>
      </c>
      <c r="B21" s="61">
        <f>'Crop Comparison'!D30</f>
        <v>5786.3480645999998</v>
      </c>
      <c r="C21" s="60">
        <f>B21/$B$24*100</f>
        <v>20.294816217069542</v>
      </c>
      <c r="D21" s="58" t="s">
        <v>125</v>
      </c>
      <c r="E21" s="58"/>
      <c r="F21" s="60">
        <f>C24-F20-F19</f>
        <v>151.30653833041652</v>
      </c>
    </row>
    <row r="22" spans="1:6" ht="18" x14ac:dyDescent="0.35">
      <c r="A22" s="57" t="s">
        <v>126</v>
      </c>
      <c r="B22" s="61">
        <f>'Crop Comparison'!D8</f>
        <v>13598.101439999999</v>
      </c>
      <c r="C22" s="60">
        <f t="shared" ref="C22" si="0">B22/$B$24*100</f>
        <v>47.693461669583485</v>
      </c>
      <c r="D22" s="57"/>
      <c r="E22" s="58"/>
      <c r="F22" s="59"/>
    </row>
    <row r="23" spans="1:6" ht="18" x14ac:dyDescent="0.35">
      <c r="A23" s="57" t="s">
        <v>127</v>
      </c>
      <c r="B23" s="58"/>
      <c r="C23" s="59">
        <v>100</v>
      </c>
      <c r="D23" s="57"/>
      <c r="E23" s="58"/>
      <c r="F23" s="59"/>
    </row>
    <row r="24" spans="1:6" ht="18.600000000000001" thickBot="1" x14ac:dyDescent="0.4">
      <c r="A24" s="62" t="s">
        <v>128</v>
      </c>
      <c r="B24" s="63">
        <f>SUM(B20:B22)</f>
        <v>28511.458308911537</v>
      </c>
      <c r="C24" s="64">
        <f>SUM(C19:C23)</f>
        <v>200</v>
      </c>
      <c r="D24" s="62" t="s">
        <v>129</v>
      </c>
      <c r="E24" s="65"/>
      <c r="F24" s="66">
        <f>B22-(B20+B21)</f>
        <v>-1315.2554289115396</v>
      </c>
    </row>
    <row r="34" spans="1:6" ht="15" thickBot="1" x14ac:dyDescent="0.35"/>
    <row r="35" spans="1:6" ht="18" x14ac:dyDescent="0.35">
      <c r="A35" s="77" t="s">
        <v>131</v>
      </c>
      <c r="B35" s="78"/>
      <c r="C35" s="79"/>
      <c r="D35" s="77" t="s">
        <v>120</v>
      </c>
      <c r="E35" s="78"/>
      <c r="F35" s="79"/>
    </row>
    <row r="36" spans="1:6" ht="18" x14ac:dyDescent="0.35">
      <c r="A36" s="57" t="s">
        <v>121</v>
      </c>
      <c r="B36" s="58">
        <v>0</v>
      </c>
      <c r="C36" s="59">
        <v>0</v>
      </c>
      <c r="D36" s="58" t="s">
        <v>122</v>
      </c>
      <c r="E36" s="58"/>
      <c r="F36" s="60">
        <f>((B38+B37+F41)/B41)*100</f>
        <v>47.708752966815645</v>
      </c>
    </row>
    <row r="37" spans="1:6" ht="18" x14ac:dyDescent="0.35">
      <c r="A37" s="57" t="s">
        <v>123</v>
      </c>
      <c r="B37" s="61">
        <f>'Crop Comparison'!E28</f>
        <v>13140.107694387396</v>
      </c>
      <c r="C37" s="60">
        <f>B37/$B$41*100</f>
        <v>39.564773357272557</v>
      </c>
      <c r="D37" s="58" t="s">
        <v>120</v>
      </c>
      <c r="E37" s="58"/>
      <c r="F37" s="59">
        <v>1</v>
      </c>
    </row>
    <row r="38" spans="1:6" ht="18" x14ac:dyDescent="0.35">
      <c r="A38" s="57" t="s">
        <v>124</v>
      </c>
      <c r="B38" s="61">
        <f>'Crop Comparison'!E30</f>
        <v>4226.6698500000002</v>
      </c>
      <c r="C38" s="60">
        <f>B38/$B$41*100</f>
        <v>12.726473675911793</v>
      </c>
      <c r="D38" s="58" t="s">
        <v>125</v>
      </c>
      <c r="E38" s="58"/>
      <c r="F38" s="60">
        <f>C41-F37-F36</f>
        <v>151.29124703318436</v>
      </c>
    </row>
    <row r="39" spans="1:6" ht="18" x14ac:dyDescent="0.35">
      <c r="A39" s="57" t="s">
        <v>126</v>
      </c>
      <c r="B39" s="61">
        <f>'Crop Comparison'!E8</f>
        <v>15844.856389999999</v>
      </c>
      <c r="C39" s="60">
        <f t="shared" ref="C39" si="1">B39/$B$41*100</f>
        <v>47.708752966815645</v>
      </c>
      <c r="D39" s="57"/>
      <c r="E39" s="58"/>
      <c r="F39" s="59"/>
    </row>
    <row r="40" spans="1:6" ht="18" x14ac:dyDescent="0.35">
      <c r="A40" s="57" t="s">
        <v>127</v>
      </c>
      <c r="B40" s="58"/>
      <c r="C40" s="59">
        <v>100</v>
      </c>
      <c r="D40" s="57"/>
      <c r="E40" s="58"/>
      <c r="F40" s="59"/>
    </row>
    <row r="41" spans="1:6" ht="18.600000000000001" thickBot="1" x14ac:dyDescent="0.4">
      <c r="A41" s="62" t="s">
        <v>128</v>
      </c>
      <c r="B41" s="63">
        <f>SUM(B37:B39)</f>
        <v>33211.633934387399</v>
      </c>
      <c r="C41" s="64">
        <f>SUM(C36:C40)</f>
        <v>200</v>
      </c>
      <c r="D41" s="62" t="s">
        <v>129</v>
      </c>
      <c r="E41" s="65"/>
      <c r="F41" s="66">
        <f>B39-(B37+B38)</f>
        <v>-1521.9211543873989</v>
      </c>
    </row>
  </sheetData>
  <mergeCells count="6">
    <mergeCell ref="A1:C1"/>
    <mergeCell ref="D1:F1"/>
    <mergeCell ref="A18:C18"/>
    <mergeCell ref="D18:F18"/>
    <mergeCell ref="A35:C35"/>
    <mergeCell ref="D35:F3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F34FFA60B85ED4788681866754E016A" ma:contentTypeVersion="16" ma:contentTypeDescription="Create a new document." ma:contentTypeScope="" ma:versionID="b77f188cd9bc58b62dcf211ad9302814">
  <xsd:schema xmlns:xsd="http://www.w3.org/2001/XMLSchema" xmlns:xs="http://www.w3.org/2001/XMLSchema" xmlns:p="http://schemas.microsoft.com/office/2006/metadata/properties" xmlns:ns2="13a0b348-8834-4d7c-b06d-697f5a4282a4" xmlns:ns3="95943543-aac6-4fde-8f8b-77a9ea0cd5ed" targetNamespace="http://schemas.microsoft.com/office/2006/metadata/properties" ma:root="true" ma:fieldsID="367b602f478b113fb50ea0fb44ea6cab" ns2:_="" ns3:_="">
    <xsd:import namespace="13a0b348-8834-4d7c-b06d-697f5a4282a4"/>
    <xsd:import namespace="95943543-aac6-4fde-8f8b-77a9ea0cd5e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ocumentType"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Productionseason" minOccurs="0"/>
                <xsd:element ref="ns2:CropType" minOccurs="0"/>
                <xsd:element ref="ns2:FileType" minOccurs="0"/>
                <xsd:element ref="ns2:Commod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a0b348-8834-4d7c-b06d-697f5a4282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ocumentType" ma:index="11" nillable="true" ma:displayName="Document Type" ma:format="Dropdown" ma:internalName="DocumentType">
      <xsd:simpleType>
        <xsd:restriction base="dms:Choice">
          <xsd:enumeration value="CEC Data"/>
          <xsd:enumeration value="Choice 2"/>
          <xsd:enumeration value="Choice 3"/>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3362023-a8c1-4b5e-9a31-595cfc7316f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Productionseason" ma:index="20" nillable="true" ma:displayName="Production season" ma:format="Dropdown" ma:internalName="Productionseason">
      <xsd:simpleType>
        <xsd:restriction base="dms:Choice">
          <xsd:enumeration value="2026-2027"/>
          <xsd:enumeration value="2025-2026"/>
          <xsd:enumeration value="2024-2025"/>
        </xsd:restriction>
      </xsd:simpleType>
    </xsd:element>
    <xsd:element name="CropType" ma:index="21" nillable="true" ma:displayName="Crop Type" ma:format="Dropdown" ma:internalName="CropType">
      <xsd:simpleType>
        <xsd:restriction base="dms:Choice">
          <xsd:enumeration value="Summergrain"/>
          <xsd:enumeration value="Wintercereal"/>
          <xsd:enumeration value="Choice 3"/>
        </xsd:restriction>
      </xsd:simpleType>
    </xsd:element>
    <xsd:element name="FileType" ma:index="22" nillable="true" ma:displayName="File Type" ma:format="Dropdown" ma:internalName="FileType">
      <xsd:simpleType>
        <xsd:restriction base="dms:Choice">
          <xsd:enumeration value="Budget"/>
          <xsd:enumeration value="Model"/>
        </xsd:restriction>
      </xsd:simpleType>
    </xsd:element>
    <xsd:element name="Commodity" ma:index="23" nillable="true" ma:displayName="Commodity" ma:format="Dropdown" ma:internalName="Commodity">
      <xsd:simpleType>
        <xsd:union memberTypes="dms:Text">
          <xsd:simpleType>
            <xsd:restriction base="dms:Choice">
              <xsd:enumeration value="Soybeans"/>
              <xsd:enumeration value="Maize"/>
              <xsd:enumeration value="Sunflowers"/>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5943543-aac6-4fde-8f8b-77a9ea0cd5e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c573613-ccca-48a7-99d6-f425781793e5}" ma:internalName="TaxCatchAll" ma:showField="CatchAllData" ma:web="95943543-aac6-4fde-8f8b-77a9ea0cd5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DocumentType xmlns="13a0b348-8834-4d7c-b06d-697f5a4282a4" xsi:nil="true"/>
    <TaxCatchAll xmlns="95943543-aac6-4fde-8f8b-77a9ea0cd5ed" xsi:nil="true"/>
    <lcf76f155ced4ddcb4097134ff3c332f xmlns="13a0b348-8834-4d7c-b06d-697f5a4282a4">
      <Terms xmlns="http://schemas.microsoft.com/office/infopath/2007/PartnerControls"/>
    </lcf76f155ced4ddcb4097134ff3c332f>
    <FileType xmlns="13a0b348-8834-4d7c-b06d-697f5a4282a4">Budget</FileType>
    <Productionseason xmlns="13a0b348-8834-4d7c-b06d-697f5a4282a4">2026-2027</Productionseason>
    <CropType xmlns="13a0b348-8834-4d7c-b06d-697f5a4282a4">Summergrain</CropType>
    <Commodity xmlns="13a0b348-8834-4d7c-b06d-697f5a4282a4" xsi:nil="true"/>
  </documentManagement>
</p:properties>
</file>

<file path=customXml/itemProps1.xml><?xml version="1.0" encoding="utf-8"?>
<ds:datastoreItem xmlns:ds="http://schemas.openxmlformats.org/officeDocument/2006/customXml" ds:itemID="{804E2444-D0F4-4D0E-9519-F571725A922C}">
  <ds:schemaRefs>
    <ds:schemaRef ds:uri="http://schemas.microsoft.com/sharepoint/v3/contenttype/forms"/>
  </ds:schemaRefs>
</ds:datastoreItem>
</file>

<file path=customXml/itemProps2.xml><?xml version="1.0" encoding="utf-8"?>
<ds:datastoreItem xmlns:ds="http://schemas.openxmlformats.org/officeDocument/2006/customXml" ds:itemID="{93B21BF3-B072-4D7B-A650-EB5939CEBB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a0b348-8834-4d7c-b06d-697f5a4282a4"/>
    <ds:schemaRef ds:uri="95943543-aac6-4fde-8f8b-77a9ea0cd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0865E6-27F2-4E3D-ACA8-C103D8C77A0A}">
  <ds:schemaRefs>
    <ds:schemaRef ds:uri="http://schemas.microsoft.com/office/2006/metadata/longProperties"/>
  </ds:schemaRefs>
</ds:datastoreItem>
</file>

<file path=customXml/itemProps4.xml><?xml version="1.0" encoding="utf-8"?>
<ds:datastoreItem xmlns:ds="http://schemas.openxmlformats.org/officeDocument/2006/customXml" ds:itemID="{DF120CE1-E821-4E50-85D5-869D05A31809}">
  <ds:schemaRefs>
    <ds:schemaRef ds:uri="13a0b348-8834-4d7c-b06d-697f5a4282a4"/>
    <ds:schemaRef ds:uri="http://purl.org/dc/elements/1.1/"/>
    <ds:schemaRef ds:uri="95943543-aac6-4fde-8f8b-77a9ea0cd5ed"/>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Pryse + Sensatiwiteitsanalise</vt:lpstr>
      <vt:lpstr>W-Mielie </vt:lpstr>
      <vt:lpstr>W-BT Mielies</vt:lpstr>
      <vt:lpstr>Bes-mielies</vt:lpstr>
      <vt:lpstr>Sonneblom</vt:lpstr>
      <vt:lpstr>Sojabone</vt:lpstr>
      <vt:lpstr>Crop Comparison</vt:lpstr>
      <vt:lpstr>Grafieke</vt:lpstr>
      <vt:lpstr>Obrengspeil</vt:lpstr>
      <vt:lpstr>'Bes-mielies'!Print_Area</vt:lpstr>
      <vt:lpstr>Sojabone!Print_Area</vt:lpstr>
      <vt:lpstr>Sonneblom!Print_Area</vt:lpstr>
      <vt:lpstr>'W-BT Mielies'!Print_Area</vt:lpstr>
      <vt:lpstr>'W-Mielie '!Print_Area</vt:lpstr>
      <vt:lpstr>Sojaopbrengspeil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Private</dc:creator>
  <cp:keywords/>
  <dc:description/>
  <cp:lastModifiedBy>Cathrine Mathekga</cp:lastModifiedBy>
  <cp:revision/>
  <dcterms:created xsi:type="dcterms:W3CDTF">2007-01-09T12:07:13Z</dcterms:created>
  <dcterms:modified xsi:type="dcterms:W3CDTF">2026-08-04T13:15:13Z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Petru Fourie</vt:lpwstr>
  </property>
  <property fmtid="{D5CDD505-2E9C-101B-9397-08002B2CF9AE}" pid="3" name="Order">
    <vt:lpwstr>16553200.0000000</vt:lpwstr>
  </property>
  <property fmtid="{D5CDD505-2E9C-101B-9397-08002B2CF9AE}" pid="4" name="display_urn:schemas-microsoft-com:office:office#Author">
    <vt:lpwstr>Petru Fourie</vt:lpwstr>
  </property>
  <property fmtid="{D5CDD505-2E9C-101B-9397-08002B2CF9AE}" pid="5" name="MediaServiceImageTags">
    <vt:lpwstr/>
  </property>
  <property fmtid="{D5CDD505-2E9C-101B-9397-08002B2CF9AE}" pid="6" name="ContentTypeId">
    <vt:lpwstr>0x010100DF34FFA60B85ED4788681866754E016A</vt:lpwstr>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xd_Signature">
    <vt:bool>false</vt:bool>
  </property>
</Properties>
</file>