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drawings/drawing10.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11.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grainsa2019.sharepoint.com/sites/ProductionEconomics/Produksie Begrotings_Production Budgets/"/>
    </mc:Choice>
  </mc:AlternateContent>
  <xr:revisionPtr revIDLastSave="1114" documentId="8_{5AE72E11-88E4-4620-866D-A25DF0EB7AE2}" xr6:coauthVersionLast="47" xr6:coauthVersionMax="47" xr10:uidLastSave="{E0B47CF9-61AA-417B-813D-64AC67559B0B}"/>
  <bookViews>
    <workbookView xWindow="-108" yWindow="-108" windowWidth="23256" windowHeight="12456" tabRatio="902" xr2:uid="{4831A16D-B381-46B3-96BE-CF4EBA8B2493}"/>
  </bookViews>
  <sheets>
    <sheet name="Pryse + Sensatiwiteitsanalise" sheetId="37" r:id="rId1"/>
    <sheet name="W-Mielie " sheetId="2" r:id="rId2"/>
    <sheet name="W-BT Mielies" sheetId="22" r:id="rId3"/>
    <sheet name="Sonneblom" sheetId="20" r:id="rId4"/>
    <sheet name="Sojabone" sheetId="34" r:id="rId5"/>
    <sheet name="Graansorghum" sheetId="30" r:id="rId6"/>
    <sheet name="Grondbone" sheetId="36" r:id="rId7"/>
    <sheet name="Bes-mielies" sheetId="10" r:id="rId8"/>
    <sheet name="Crop Comparison" sheetId="38" r:id="rId9"/>
    <sheet name="Grafieke" sheetId="41" r:id="rId10"/>
    <sheet name="Rev meters" sheetId="40" state="hidden" r:id="rId11"/>
  </sheets>
  <externalReferences>
    <externalReference r:id="rId12"/>
    <externalReference r:id="rId13"/>
  </externalReferences>
  <definedNames>
    <definedName name="BTopbrengspeil">'W-BT Mielies'!$K$9:$K$14</definedName>
    <definedName name="Opbrengspeil">'W-Mielie '!#REF!</definedName>
    <definedName name="_xlnm.Print_Area" localSheetId="7">'Bes-mielies'!$A$1:$G$47</definedName>
    <definedName name="_xlnm.Print_Area" localSheetId="5">Graansorghum!$A$1:$H$43</definedName>
    <definedName name="_xlnm.Print_Area" localSheetId="6">Grondbone!$A$1:$G$51</definedName>
    <definedName name="_xlnm.Print_Area" localSheetId="4">Sojabone!$A$1:$H$43</definedName>
    <definedName name="_xlnm.Print_Area" localSheetId="3">Sonneblom!$A$1:$H$43</definedName>
    <definedName name="_xlnm.Print_Area" localSheetId="2">'W-BT Mielies'!$A$1:$I$47</definedName>
    <definedName name="_xlnm.Print_Area" localSheetId="1">'W-Mielie '!$A$1:$I$47</definedName>
    <definedName name="Sojaopbrengspeil">Sojabone!#REF!</definedName>
    <definedName name="Sonopbrengspeil">Sonneblom!#REF!</definedName>
    <definedName name="Sorghopbrengspeil">Graansorghum!#REF!</definedName>
    <definedName name="Sorgopbrengspeil">Graansorghum!#REF!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0" i="10" l="1"/>
  <c r="G39" i="10"/>
  <c r="G37" i="10"/>
  <c r="F37" i="10"/>
  <c r="E37" i="10"/>
  <c r="D10" i="36"/>
  <c r="G5" i="38"/>
  <c r="D41" i="36"/>
  <c r="D39" i="36"/>
  <c r="E33" i="36" l="1"/>
  <c r="E37" i="36" s="1"/>
  <c r="F33" i="36"/>
  <c r="F37" i="36" s="1"/>
  <c r="F48" i="36" s="1"/>
  <c r="G33" i="36"/>
  <c r="G37" i="36" s="1"/>
  <c r="G48" i="36" s="1"/>
  <c r="E41" i="36"/>
  <c r="F41" i="36"/>
  <c r="G41" i="36"/>
  <c r="E44" i="36"/>
  <c r="F44" i="36"/>
  <c r="G44" i="36"/>
  <c r="G47" i="36"/>
  <c r="D33" i="36"/>
  <c r="E47" i="36" l="1"/>
  <c r="F47" i="36"/>
  <c r="E48" i="36"/>
  <c r="E39" i="36"/>
  <c r="E43" i="36" s="1"/>
  <c r="G39" i="36"/>
  <c r="G43" i="36" s="1"/>
  <c r="F39" i="36"/>
  <c r="F43" i="36" s="1"/>
  <c r="B30" i="38" l="1"/>
  <c r="B28" i="38"/>
  <c r="B32" i="38" s="1"/>
  <c r="H12" i="38"/>
  <c r="H13" i="38"/>
  <c r="H14" i="38"/>
  <c r="H15" i="38"/>
  <c r="H16" i="38"/>
  <c r="H17" i="38"/>
  <c r="H19" i="38"/>
  <c r="H20" i="38"/>
  <c r="H22" i="38"/>
  <c r="H27" i="38"/>
  <c r="H11" i="38"/>
  <c r="G12" i="38"/>
  <c r="G13" i="38"/>
  <c r="G14" i="38"/>
  <c r="G15" i="38"/>
  <c r="G16" i="38"/>
  <c r="G22" i="38"/>
  <c r="G24" i="38"/>
  <c r="G26" i="38"/>
  <c r="G27" i="38"/>
  <c r="G11" i="38"/>
  <c r="F12" i="38"/>
  <c r="F13" i="38"/>
  <c r="F14" i="38"/>
  <c r="F15" i="38"/>
  <c r="F16" i="38"/>
  <c r="F17" i="38"/>
  <c r="F22" i="38"/>
  <c r="F23" i="38"/>
  <c r="F24" i="38"/>
  <c r="F27" i="38"/>
  <c r="F11" i="38"/>
  <c r="E12" i="38"/>
  <c r="E13" i="38"/>
  <c r="E14" i="38"/>
  <c r="E15" i="38"/>
  <c r="E16" i="38"/>
  <c r="E17" i="38"/>
  <c r="E20" i="38"/>
  <c r="E22" i="38"/>
  <c r="E23" i="38"/>
  <c r="E24" i="38"/>
  <c r="E27" i="38"/>
  <c r="E11" i="38"/>
  <c r="D12" i="38"/>
  <c r="D13" i="38"/>
  <c r="D14" i="38"/>
  <c r="D15" i="38"/>
  <c r="D16" i="38"/>
  <c r="D17" i="38"/>
  <c r="D18" i="38"/>
  <c r="D20" i="38"/>
  <c r="D22" i="38"/>
  <c r="D23" i="38"/>
  <c r="D24" i="38"/>
  <c r="D27" i="38"/>
  <c r="D11" i="38"/>
  <c r="C12" i="38"/>
  <c r="C13" i="38"/>
  <c r="C14" i="38"/>
  <c r="C15" i="38"/>
  <c r="C16" i="38"/>
  <c r="C17" i="38"/>
  <c r="C20" i="38"/>
  <c r="C22" i="38"/>
  <c r="C23" i="38"/>
  <c r="C24" i="38"/>
  <c r="C27" i="38"/>
  <c r="C11" i="38"/>
  <c r="B12" i="38"/>
  <c r="B13" i="38"/>
  <c r="B14" i="38"/>
  <c r="B15" i="38"/>
  <c r="B16" i="38"/>
  <c r="B17" i="38"/>
  <c r="B20" i="38"/>
  <c r="B22" i="38"/>
  <c r="B23" i="38"/>
  <c r="B24" i="38"/>
  <c r="B27" i="38"/>
  <c r="B11" i="38"/>
  <c r="D34" i="20"/>
  <c r="D28" i="38" l="1"/>
  <c r="B29" i="37" s="1"/>
  <c r="B17" i="37"/>
  <c r="C28" i="38"/>
  <c r="B3" i="41" s="1"/>
  <c r="A19" i="38"/>
  <c r="A17" i="22"/>
  <c r="A17" i="20" s="1"/>
  <c r="A17" i="34" s="1"/>
  <c r="A17" i="30" s="1"/>
  <c r="A24" i="36" s="1"/>
  <c r="G28" i="38"/>
  <c r="A12" i="38"/>
  <c r="A13" i="38"/>
  <c r="A14" i="38"/>
  <c r="A15" i="38"/>
  <c r="A16" i="38"/>
  <c r="A17" i="38"/>
  <c r="A18" i="38"/>
  <c r="A20" i="38"/>
  <c r="A21" i="38"/>
  <c r="A22" i="38"/>
  <c r="A23" i="38"/>
  <c r="A24" i="38"/>
  <c r="A25" i="38"/>
  <c r="A26" i="38"/>
  <c r="A27" i="38"/>
  <c r="A11" i="38"/>
  <c r="E26" i="10"/>
  <c r="E30" i="10" s="1"/>
  <c r="E32" i="10" s="1"/>
  <c r="E36" i="10" s="1"/>
  <c r="F26" i="10"/>
  <c r="F30" i="10" s="1"/>
  <c r="F40" i="10" s="1"/>
  <c r="G26" i="10"/>
  <c r="G30" i="10" s="1"/>
  <c r="G32" i="10" s="1"/>
  <c r="G36" i="10" s="1"/>
  <c r="D26" i="10"/>
  <c r="D30" i="10" s="1"/>
  <c r="D32" i="10" s="1"/>
  <c r="D37" i="30"/>
  <c r="D34" i="30"/>
  <c r="E34" i="30" s="1"/>
  <c r="F34" i="30" s="1"/>
  <c r="E26" i="30"/>
  <c r="E30" i="30" s="1"/>
  <c r="E32" i="30" s="1"/>
  <c r="E36" i="30" s="1"/>
  <c r="F26" i="30"/>
  <c r="F30" i="30" s="1"/>
  <c r="F32" i="30" s="1"/>
  <c r="F36" i="30" s="1"/>
  <c r="G26" i="30"/>
  <c r="G30" i="30" s="1"/>
  <c r="G32" i="30" s="1"/>
  <c r="H26" i="30"/>
  <c r="H30" i="30" s="1"/>
  <c r="H32" i="30" s="1"/>
  <c r="D26" i="30"/>
  <c r="D30" i="30" s="1"/>
  <c r="D32" i="30" s="1"/>
  <c r="D36" i="30" s="1"/>
  <c r="D26" i="34"/>
  <c r="D32" i="34" s="1"/>
  <c r="D26" i="20"/>
  <c r="A10" i="20"/>
  <c r="A11" i="20"/>
  <c r="A12" i="20"/>
  <c r="A13" i="20"/>
  <c r="A14" i="20"/>
  <c r="A15" i="20"/>
  <c r="A16" i="20"/>
  <c r="A18" i="20"/>
  <c r="A19" i="20"/>
  <c r="A20" i="20"/>
  <c r="A21" i="20"/>
  <c r="A22" i="20"/>
  <c r="A23" i="20"/>
  <c r="A24" i="20"/>
  <c r="A25" i="20"/>
  <c r="A9" i="20"/>
  <c r="E26" i="22"/>
  <c r="E30" i="22" s="1"/>
  <c r="E32" i="22" s="1"/>
  <c r="E36" i="22" s="1"/>
  <c r="F26" i="22"/>
  <c r="B16" i="37" s="1"/>
  <c r="B18" i="37" s="1"/>
  <c r="G26" i="22"/>
  <c r="G30" i="22" s="1"/>
  <c r="G32" i="22" s="1"/>
  <c r="G36" i="22" s="1"/>
  <c r="H26" i="22"/>
  <c r="H30" i="22" s="1"/>
  <c r="H32" i="22" s="1"/>
  <c r="H36" i="22" s="1"/>
  <c r="I26" i="22"/>
  <c r="I30" i="22" s="1"/>
  <c r="I32" i="22" s="1"/>
  <c r="I36" i="22" s="1"/>
  <c r="D26" i="22"/>
  <c r="D30" i="22" s="1"/>
  <c r="A10" i="22"/>
  <c r="A11" i="22"/>
  <c r="A12" i="22"/>
  <c r="A13" i="22"/>
  <c r="A14" i="22"/>
  <c r="A15" i="22"/>
  <c r="A16" i="22"/>
  <c r="A18" i="22"/>
  <c r="A19" i="22"/>
  <c r="A20" i="22"/>
  <c r="A21" i="22"/>
  <c r="A22" i="22"/>
  <c r="A23" i="22"/>
  <c r="A24" i="22"/>
  <c r="A25" i="22"/>
  <c r="A9" i="22"/>
  <c r="E26" i="2"/>
  <c r="E30" i="2" s="1"/>
  <c r="E32" i="2" s="1"/>
  <c r="E36" i="2" s="1"/>
  <c r="F26" i="2"/>
  <c r="F30" i="2" s="1"/>
  <c r="G26" i="2"/>
  <c r="G30" i="2" s="1"/>
  <c r="G32" i="2" s="1"/>
  <c r="G36" i="2" s="1"/>
  <c r="H26" i="2"/>
  <c r="H30" i="2" s="1"/>
  <c r="H32" i="2" s="1"/>
  <c r="H36" i="2" s="1"/>
  <c r="I26" i="2"/>
  <c r="I30" i="2" s="1"/>
  <c r="I32" i="2" s="1"/>
  <c r="I36" i="2" s="1"/>
  <c r="D26" i="2"/>
  <c r="D30" i="2" s="1"/>
  <c r="D32" i="2" s="1"/>
  <c r="D36" i="2" s="1"/>
  <c r="B24" i="37"/>
  <c r="E3" i="2"/>
  <c r="D32" i="22" l="1"/>
  <c r="D36" i="22" s="1"/>
  <c r="F32" i="10"/>
  <c r="F36" i="10" s="1"/>
  <c r="H28" i="38"/>
  <c r="F28" i="38"/>
  <c r="E28" i="38"/>
  <c r="G36" i="30"/>
  <c r="H34" i="30"/>
  <c r="H36" i="30" s="1"/>
  <c r="G34" i="30"/>
  <c r="F30" i="22"/>
  <c r="F32" i="22" s="1"/>
  <c r="F36" i="22" s="1"/>
  <c r="D39" i="2"/>
  <c r="F32" i="2"/>
  <c r="F36" i="2" s="1"/>
  <c r="F40" i="2"/>
  <c r="E39" i="2"/>
  <c r="F4" i="38" l="1"/>
  <c r="G4" i="38"/>
  <c r="E4" i="38"/>
  <c r="D4" i="38"/>
  <c r="C4" i="38"/>
  <c r="E34" i="10" l="1"/>
  <c r="F34" i="10"/>
  <c r="D34" i="10"/>
  <c r="D37" i="36"/>
  <c r="E34" i="34"/>
  <c r="F34" i="34"/>
  <c r="G34" i="34"/>
  <c r="H34" i="34"/>
  <c r="D34" i="34"/>
  <c r="D36" i="34" s="1"/>
  <c r="E26" i="34"/>
  <c r="E30" i="34" s="1"/>
  <c r="F26" i="34"/>
  <c r="F30" i="34" s="1"/>
  <c r="G26" i="34"/>
  <c r="G32" i="34" s="1"/>
  <c r="H26" i="34"/>
  <c r="H30" i="34" s="1"/>
  <c r="E34" i="20"/>
  <c r="F34" i="20"/>
  <c r="G34" i="20"/>
  <c r="H34" i="20"/>
  <c r="D30" i="20"/>
  <c r="D32" i="20" s="1"/>
  <c r="E32" i="34" l="1"/>
  <c r="F32" i="34"/>
  <c r="D30" i="34"/>
  <c r="G30" i="34"/>
  <c r="H32" i="34"/>
  <c r="B36" i="37"/>
  <c r="B23" i="37"/>
  <c r="C30" i="38"/>
  <c r="B4" i="41" s="1"/>
  <c r="B49" i="37"/>
  <c r="D30" i="38"/>
  <c r="B21" i="41" s="1"/>
  <c r="D61" i="38"/>
  <c r="E61" i="38"/>
  <c r="C5" i="38"/>
  <c r="C60" i="38" s="1"/>
  <c r="L14" i="22"/>
  <c r="L10" i="22"/>
  <c r="E5" i="38"/>
  <c r="E60" i="38" s="1"/>
  <c r="D5" i="38"/>
  <c r="D60" i="38" s="1"/>
  <c r="B56" i="37"/>
  <c r="C61" i="38"/>
  <c r="B6" i="38"/>
  <c r="C6" i="38"/>
  <c r="H6" i="38"/>
  <c r="E15" i="40"/>
  <c r="D8" i="36"/>
  <c r="E51" i="30"/>
  <c r="G30" i="38"/>
  <c r="B81" i="41" s="1"/>
  <c r="F30" i="38"/>
  <c r="B56" i="41" s="1"/>
  <c r="E30" i="38"/>
  <c r="B38" i="41" s="1"/>
  <c r="H61" i="38"/>
  <c r="G61" i="38"/>
  <c r="F61" i="38"/>
  <c r="G6" i="38"/>
  <c r="F6" i="38"/>
  <c r="B61" i="38"/>
  <c r="F5" i="38"/>
  <c r="F60" i="38" s="1"/>
  <c r="H59" i="38"/>
  <c r="G59" i="38"/>
  <c r="F59" i="38"/>
  <c r="E59" i="38"/>
  <c r="D59" i="38"/>
  <c r="C59" i="38"/>
  <c r="B59" i="38"/>
  <c r="B62" i="37"/>
  <c r="B61" i="37"/>
  <c r="B63" i="37" s="1"/>
  <c r="E60" i="37"/>
  <c r="E59" i="37"/>
  <c r="E58" i="37"/>
  <c r="K14" i="22"/>
  <c r="K13" i="22"/>
  <c r="K12" i="22"/>
  <c r="K11" i="22"/>
  <c r="K10" i="22"/>
  <c r="K9" i="22"/>
  <c r="D44" i="36"/>
  <c r="D6" i="36"/>
  <c r="D7" i="36"/>
  <c r="D5" i="36"/>
  <c r="D4" i="36"/>
  <c r="E26" i="20"/>
  <c r="E30" i="20" s="1"/>
  <c r="E32" i="20" s="1"/>
  <c r="F26" i="20"/>
  <c r="F30" i="20" s="1"/>
  <c r="F32" i="20" s="1"/>
  <c r="G26" i="20"/>
  <c r="G30" i="20" s="1"/>
  <c r="G32" i="20" s="1"/>
  <c r="H26" i="20"/>
  <c r="H30" i="20" s="1"/>
  <c r="H32" i="20" s="1"/>
  <c r="F37" i="30"/>
  <c r="D36" i="10"/>
  <c r="L13" i="22"/>
  <c r="L12" i="22"/>
  <c r="E3" i="30"/>
  <c r="E47" i="37"/>
  <c r="Q47" i="37"/>
  <c r="E48" i="37"/>
  <c r="E49" i="37"/>
  <c r="E34" i="37"/>
  <c r="E33" i="37"/>
  <c r="E21" i="37"/>
  <c r="E20" i="37"/>
  <c r="Q21" i="37"/>
  <c r="Q22" i="37"/>
  <c r="Q23" i="37"/>
  <c r="Q20" i="37"/>
  <c r="Q19" i="37"/>
  <c r="E61" i="37"/>
  <c r="E62" i="37"/>
  <c r="Q60" i="37"/>
  <c r="Q59" i="37"/>
  <c r="Q58" i="37"/>
  <c r="E22" i="37"/>
  <c r="E23" i="37"/>
  <c r="E19" i="37"/>
  <c r="Q61" i="37"/>
  <c r="Q62" i="37"/>
  <c r="E46" i="37"/>
  <c r="E45" i="37"/>
  <c r="B43" i="37"/>
  <c r="D6" i="38"/>
  <c r="D37" i="34"/>
  <c r="F37" i="34" s="1"/>
  <c r="B48" i="37"/>
  <c r="D37" i="20"/>
  <c r="E37" i="20" s="1"/>
  <c r="B35" i="37"/>
  <c r="J30" i="37" s="1"/>
  <c r="B22" i="37"/>
  <c r="D37" i="10"/>
  <c r="B5" i="38"/>
  <c r="H5" i="38" s="1"/>
  <c r="H60" i="38" s="1"/>
  <c r="E6" i="38"/>
  <c r="H30" i="38"/>
  <c r="E32" i="37"/>
  <c r="Q34" i="37"/>
  <c r="E35" i="37"/>
  <c r="Q48" i="37"/>
  <c r="Q49" i="37"/>
  <c r="Q46" i="37"/>
  <c r="Q45" i="37"/>
  <c r="E36" i="37"/>
  <c r="Q35" i="37"/>
  <c r="Q36" i="37"/>
  <c r="Q33" i="37"/>
  <c r="Q32" i="37"/>
  <c r="B30" i="37" l="1"/>
  <c r="H32" i="38"/>
  <c r="H71" i="38" s="1"/>
  <c r="B71" i="38"/>
  <c r="E37" i="34"/>
  <c r="D7" i="38"/>
  <c r="D64" i="38" s="1"/>
  <c r="D65" i="38" s="1"/>
  <c r="B80" i="41"/>
  <c r="B55" i="37"/>
  <c r="B57" i="37" s="1"/>
  <c r="E32" i="38"/>
  <c r="E71" i="38" s="1"/>
  <c r="F36" i="34"/>
  <c r="G36" i="20"/>
  <c r="D68" i="38"/>
  <c r="G40" i="30"/>
  <c r="G39" i="30"/>
  <c r="E40" i="30"/>
  <c r="E7" i="38"/>
  <c r="E64" i="38" s="1"/>
  <c r="E65" i="38" s="1"/>
  <c r="G36" i="34"/>
  <c r="H36" i="34"/>
  <c r="E36" i="34"/>
  <c r="H36" i="20"/>
  <c r="D36" i="20"/>
  <c r="E36" i="20"/>
  <c r="M9" i="22"/>
  <c r="L9" i="22"/>
  <c r="L11" i="22"/>
  <c r="G37" i="20"/>
  <c r="F37" i="20"/>
  <c r="B60" i="38"/>
  <c r="B7" i="38"/>
  <c r="I30" i="37"/>
  <c r="K30" i="37"/>
  <c r="J17" i="37"/>
  <c r="J43" i="37"/>
  <c r="B50" i="37"/>
  <c r="E3" i="34" s="1"/>
  <c r="V30" i="37"/>
  <c r="G37" i="30"/>
  <c r="E37" i="30"/>
  <c r="J56" i="37"/>
  <c r="F7" i="38"/>
  <c r="G37" i="34"/>
  <c r="C7" i="38"/>
  <c r="C8" i="38" s="1"/>
  <c r="H37" i="34"/>
  <c r="H37" i="20"/>
  <c r="H37" i="30"/>
  <c r="D43" i="36"/>
  <c r="H7" i="38"/>
  <c r="B64" i="38" l="1"/>
  <c r="B65" i="38" s="1"/>
  <c r="B8" i="38"/>
  <c r="B34" i="38" s="1"/>
  <c r="B75" i="38" s="1"/>
  <c r="B76" i="38" s="1"/>
  <c r="F32" i="38"/>
  <c r="F71" i="38" s="1"/>
  <c r="F72" i="38" s="1"/>
  <c r="F86" i="38" s="1"/>
  <c r="B55" i="41"/>
  <c r="C64" i="38"/>
  <c r="C65" i="38" s="1"/>
  <c r="D8" i="38"/>
  <c r="B22" i="40" s="1"/>
  <c r="B57" i="40"/>
  <c r="E68" i="38"/>
  <c r="E82" i="38" s="1"/>
  <c r="D32" i="38"/>
  <c r="D35" i="38" s="1"/>
  <c r="D78" i="38" s="1"/>
  <c r="D79" i="38" s="1"/>
  <c r="F68" i="38"/>
  <c r="F69" i="38" s="1"/>
  <c r="F83" i="38" s="1"/>
  <c r="H68" i="38"/>
  <c r="H69" i="38" s="1"/>
  <c r="H83" i="38" s="1"/>
  <c r="G32" i="38"/>
  <c r="G71" i="38" s="1"/>
  <c r="G72" i="38" s="1"/>
  <c r="G86" i="38" s="1"/>
  <c r="G68" i="38"/>
  <c r="G69" i="38" s="1"/>
  <c r="G83" i="38" s="1"/>
  <c r="B68" i="38"/>
  <c r="B82" i="38" s="1"/>
  <c r="B37" i="41"/>
  <c r="B42" i="37"/>
  <c r="B44" i="37" s="1"/>
  <c r="B37" i="40"/>
  <c r="B20" i="40"/>
  <c r="B20" i="41"/>
  <c r="B31" i="37"/>
  <c r="B22" i="41"/>
  <c r="F39" i="30"/>
  <c r="F40" i="30"/>
  <c r="H39" i="30"/>
  <c r="H40" i="30"/>
  <c r="D39" i="30"/>
  <c r="D40" i="30"/>
  <c r="E39" i="30"/>
  <c r="E8" i="38"/>
  <c r="B39" i="41" s="1"/>
  <c r="V31" i="37"/>
  <c r="F36" i="20"/>
  <c r="M10" i="22"/>
  <c r="B3" i="40"/>
  <c r="C32" i="38"/>
  <c r="C71" i="38" s="1"/>
  <c r="C85" i="38" s="1"/>
  <c r="C68" i="38"/>
  <c r="D45" i="36"/>
  <c r="E45" i="36" s="1"/>
  <c r="F45" i="36" s="1"/>
  <c r="G45" i="36" s="1"/>
  <c r="G60" i="38"/>
  <c r="G7" i="38"/>
  <c r="F8" i="38"/>
  <c r="B57" i="41" s="1"/>
  <c r="F64" i="38"/>
  <c r="F65" i="38" s="1"/>
  <c r="V56" i="37"/>
  <c r="I56" i="37"/>
  <c r="J57" i="37"/>
  <c r="K56" i="37"/>
  <c r="D48" i="36"/>
  <c r="D47" i="36"/>
  <c r="K17" i="37"/>
  <c r="I17" i="37"/>
  <c r="V17" i="37"/>
  <c r="B5" i="41"/>
  <c r="B5" i="40"/>
  <c r="W30" i="37"/>
  <c r="U30" i="37"/>
  <c r="V43" i="37"/>
  <c r="I43" i="37"/>
  <c r="K43" i="37"/>
  <c r="J44" i="37"/>
  <c r="K31" i="37"/>
  <c r="L30" i="37"/>
  <c r="H30" i="37"/>
  <c r="I31" i="37"/>
  <c r="E85" i="38"/>
  <c r="E72" i="38"/>
  <c r="E86" i="38" s="1"/>
  <c r="B85" i="38"/>
  <c r="B72" i="38"/>
  <c r="B86" i="38" s="1"/>
  <c r="H72" i="38"/>
  <c r="H86" i="38" s="1"/>
  <c r="H8" i="38"/>
  <c r="H64" i="38"/>
  <c r="H65" i="38" s="1"/>
  <c r="C34" i="38"/>
  <c r="C75" i="38" s="1"/>
  <c r="C76" i="38" s="1"/>
  <c r="D82" i="38"/>
  <c r="D69" i="38"/>
  <c r="D83" i="38" s="1"/>
  <c r="F24" i="40" l="1"/>
  <c r="C82" i="38"/>
  <c r="E69" i="38"/>
  <c r="E83" i="38" s="1"/>
  <c r="D71" i="38"/>
  <c r="D85" i="38" s="1"/>
  <c r="D34" i="38"/>
  <c r="D75" i="38" s="1"/>
  <c r="D76" i="38" s="1"/>
  <c r="B24" i="41"/>
  <c r="C22" i="41" s="1"/>
  <c r="C69" i="38"/>
  <c r="C83" i="38" s="1"/>
  <c r="B69" i="38"/>
  <c r="B83" i="38" s="1"/>
  <c r="F24" i="41"/>
  <c r="B24" i="40"/>
  <c r="C22" i="40" s="1"/>
  <c r="B35" i="38"/>
  <c r="B78" i="38" s="1"/>
  <c r="B79" i="38" s="1"/>
  <c r="E35" i="38"/>
  <c r="E78" i="38" s="1"/>
  <c r="E79" i="38" s="1"/>
  <c r="F82" i="38"/>
  <c r="F85" i="38"/>
  <c r="B39" i="40"/>
  <c r="F41" i="40" s="1"/>
  <c r="E34" i="38"/>
  <c r="E75" i="38" s="1"/>
  <c r="E76" i="38" s="1"/>
  <c r="B37" i="37"/>
  <c r="E3" i="20" s="1"/>
  <c r="J31" i="37"/>
  <c r="M11" i="22"/>
  <c r="C72" i="38"/>
  <c r="C86" i="38" s="1"/>
  <c r="C35" i="38"/>
  <c r="C78" i="38" s="1"/>
  <c r="C79" i="38" s="1"/>
  <c r="G8" i="38"/>
  <c r="G64" i="38"/>
  <c r="W31" i="37"/>
  <c r="X30" i="37"/>
  <c r="V35" i="37"/>
  <c r="V36" i="37"/>
  <c r="V32" i="37"/>
  <c r="V34" i="37"/>
  <c r="V33" i="37"/>
  <c r="B7" i="40"/>
  <c r="F7" i="40"/>
  <c r="F40" i="34"/>
  <c r="F39" i="34"/>
  <c r="L31" i="37"/>
  <c r="M30" i="37"/>
  <c r="D40" i="34"/>
  <c r="D39" i="34"/>
  <c r="H39" i="34"/>
  <c r="H40" i="34"/>
  <c r="K33" i="37"/>
  <c r="K35" i="37"/>
  <c r="K32" i="37"/>
  <c r="K34" i="37"/>
  <c r="K36" i="37"/>
  <c r="H82" i="38"/>
  <c r="L43" i="37"/>
  <c r="K44" i="37"/>
  <c r="G39" i="34"/>
  <c r="G40" i="34"/>
  <c r="E40" i="34"/>
  <c r="E39" i="34"/>
  <c r="B7" i="41"/>
  <c r="C4" i="41" s="1"/>
  <c r="F7" i="41"/>
  <c r="J46" i="37"/>
  <c r="J49" i="37"/>
  <c r="J47" i="37"/>
  <c r="J45" i="37"/>
  <c r="J48" i="37"/>
  <c r="K57" i="37"/>
  <c r="L56" i="37"/>
  <c r="J62" i="37"/>
  <c r="J58" i="37"/>
  <c r="J61" i="37"/>
  <c r="J60" i="37"/>
  <c r="J59" i="37"/>
  <c r="H43" i="37"/>
  <c r="I44" i="37"/>
  <c r="H56" i="37"/>
  <c r="I57" i="37"/>
  <c r="I33" i="37"/>
  <c r="I34" i="37"/>
  <c r="I36" i="37"/>
  <c r="I35" i="37"/>
  <c r="I32" i="37"/>
  <c r="W17" i="37"/>
  <c r="U17" i="37"/>
  <c r="B41" i="41"/>
  <c r="C39" i="41" s="1"/>
  <c r="F41" i="41"/>
  <c r="T30" i="37"/>
  <c r="U31" i="37"/>
  <c r="V44" i="37"/>
  <c r="W43" i="37"/>
  <c r="U43" i="37"/>
  <c r="V57" i="37"/>
  <c r="U56" i="37"/>
  <c r="W56" i="37"/>
  <c r="H31" i="37"/>
  <c r="G30" i="37"/>
  <c r="H17" i="37"/>
  <c r="L17" i="37"/>
  <c r="F34" i="38"/>
  <c r="F75" i="38" s="1"/>
  <c r="F76" i="38" s="1"/>
  <c r="B59" i="40"/>
  <c r="F35" i="38"/>
  <c r="F78" i="38" s="1"/>
  <c r="F79" i="38" s="1"/>
  <c r="H34" i="38"/>
  <c r="H75" i="38" s="1"/>
  <c r="H76" i="38" s="1"/>
  <c r="H35" i="38"/>
  <c r="H78" i="38" s="1"/>
  <c r="H79" i="38" s="1"/>
  <c r="H85" i="38"/>
  <c r="D72" i="38" l="1"/>
  <c r="D86" i="38" s="1"/>
  <c r="C20" i="41"/>
  <c r="C21" i="41"/>
  <c r="F19" i="41"/>
  <c r="C21" i="40"/>
  <c r="C20" i="40"/>
  <c r="F19" i="40"/>
  <c r="F2" i="41"/>
  <c r="F2" i="40"/>
  <c r="C5" i="41"/>
  <c r="B41" i="40"/>
  <c r="F36" i="40" s="1"/>
  <c r="J33" i="37"/>
  <c r="J35" i="37"/>
  <c r="J32" i="37"/>
  <c r="J36" i="37"/>
  <c r="J34" i="37"/>
  <c r="M12" i="22"/>
  <c r="G65" i="38"/>
  <c r="G85" i="38"/>
  <c r="G82" i="38"/>
  <c r="B82" i="41"/>
  <c r="G34" i="38"/>
  <c r="G75" i="38" s="1"/>
  <c r="G76" i="38" s="1"/>
  <c r="G35" i="38"/>
  <c r="G78" i="38" s="1"/>
  <c r="G79" i="38" s="1"/>
  <c r="W44" i="37"/>
  <c r="X43" i="37"/>
  <c r="G17" i="37"/>
  <c r="H18" i="37"/>
  <c r="V47" i="37"/>
  <c r="V49" i="37"/>
  <c r="V48" i="37"/>
  <c r="V46" i="37"/>
  <c r="V45" i="37"/>
  <c r="W18" i="37"/>
  <c r="X17" i="37"/>
  <c r="L18" i="37"/>
  <c r="M17" i="37"/>
  <c r="T31" i="37"/>
  <c r="S30" i="37"/>
  <c r="I58" i="37"/>
  <c r="I61" i="37"/>
  <c r="I59" i="37"/>
  <c r="I60" i="37"/>
  <c r="I62" i="37"/>
  <c r="M56" i="37"/>
  <c r="L57" i="37"/>
  <c r="U36" i="37"/>
  <c r="U34" i="37"/>
  <c r="U33" i="37"/>
  <c r="U32" i="37"/>
  <c r="U35" i="37"/>
  <c r="F59" i="41"/>
  <c r="B59" i="41"/>
  <c r="C57" i="41" s="1"/>
  <c r="B61" i="40"/>
  <c r="C59" i="40" s="1"/>
  <c r="F61" i="40"/>
  <c r="H57" i="37"/>
  <c r="G56" i="37"/>
  <c r="K60" i="37"/>
  <c r="K61" i="37"/>
  <c r="K59" i="37"/>
  <c r="K62" i="37"/>
  <c r="K58" i="37"/>
  <c r="T56" i="37"/>
  <c r="U57" i="37"/>
  <c r="V59" i="37"/>
  <c r="V60" i="37"/>
  <c r="V61" i="37"/>
  <c r="V62" i="37"/>
  <c r="V58" i="37"/>
  <c r="C3" i="40"/>
  <c r="C4" i="40"/>
  <c r="F36" i="41"/>
  <c r="K49" i="37"/>
  <c r="K48" i="37"/>
  <c r="K47" i="37"/>
  <c r="K45" i="37"/>
  <c r="K46" i="37"/>
  <c r="M31" i="37"/>
  <c r="N30" i="37"/>
  <c r="N31" i="37" s="1"/>
  <c r="C37" i="41"/>
  <c r="C38" i="41"/>
  <c r="I47" i="37"/>
  <c r="I48" i="37"/>
  <c r="I45" i="37"/>
  <c r="I46" i="37"/>
  <c r="I49" i="37"/>
  <c r="M43" i="37"/>
  <c r="L44" i="37"/>
  <c r="L32" i="37"/>
  <c r="L33" i="37"/>
  <c r="L34" i="37"/>
  <c r="L35" i="37"/>
  <c r="L36" i="37"/>
  <c r="Y30" i="37"/>
  <c r="X31" i="37"/>
  <c r="U44" i="37"/>
  <c r="T43" i="37"/>
  <c r="C5" i="40"/>
  <c r="F30" i="37"/>
  <c r="F31" i="37" s="1"/>
  <c r="G31" i="37"/>
  <c r="H33" i="37"/>
  <c r="H32" i="37"/>
  <c r="H35" i="37"/>
  <c r="H36" i="37"/>
  <c r="H34" i="37"/>
  <c r="H44" i="37"/>
  <c r="G43" i="37"/>
  <c r="W57" i="37"/>
  <c r="X56" i="37"/>
  <c r="T17" i="37"/>
  <c r="W36" i="37"/>
  <c r="W33" i="37"/>
  <c r="W35" i="37"/>
  <c r="W34" i="37"/>
  <c r="W32" i="37"/>
  <c r="C24" i="41" l="1"/>
  <c r="F21" i="41" s="1"/>
  <c r="C24" i="40"/>
  <c r="F21" i="40" s="1"/>
  <c r="F56" i="40"/>
  <c r="C39" i="40"/>
  <c r="C37" i="40"/>
  <c r="C38" i="40"/>
  <c r="D39" i="20"/>
  <c r="D40" i="20"/>
  <c r="F40" i="20"/>
  <c r="F39" i="20"/>
  <c r="E39" i="20"/>
  <c r="E40" i="20"/>
  <c r="G40" i="20"/>
  <c r="G39" i="20"/>
  <c r="H39" i="20"/>
  <c r="H40" i="20"/>
  <c r="J18" i="37"/>
  <c r="I18" i="37"/>
  <c r="K18" i="37"/>
  <c r="V18" i="37"/>
  <c r="M13" i="22"/>
  <c r="U18" i="37"/>
  <c r="U19" i="37" s="1"/>
  <c r="B84" i="41"/>
  <c r="F84" i="41"/>
  <c r="T32" i="37"/>
  <c r="T36" i="37"/>
  <c r="T35" i="37"/>
  <c r="T33" i="37"/>
  <c r="T34" i="37"/>
  <c r="C7" i="41"/>
  <c r="F4" i="41" s="1"/>
  <c r="W62" i="37"/>
  <c r="W58" i="37"/>
  <c r="W59" i="37"/>
  <c r="W61" i="37"/>
  <c r="W60" i="37"/>
  <c r="C41" i="41"/>
  <c r="F38" i="41" s="1"/>
  <c r="X18" i="37"/>
  <c r="Y17" i="37"/>
  <c r="Y43" i="37"/>
  <c r="X44" i="37"/>
  <c r="S31" i="37"/>
  <c r="R30" i="37"/>
  <c r="R31" i="37" s="1"/>
  <c r="F56" i="37"/>
  <c r="F57" i="37" s="1"/>
  <c r="G57" i="37"/>
  <c r="G33" i="37"/>
  <c r="G34" i="37"/>
  <c r="G32" i="37"/>
  <c r="G35" i="37"/>
  <c r="G36" i="37"/>
  <c r="N33" i="37"/>
  <c r="N35" i="37"/>
  <c r="N32" i="37"/>
  <c r="N34" i="37"/>
  <c r="N36" i="37"/>
  <c r="L58" i="37"/>
  <c r="L60" i="37"/>
  <c r="L59" i="37"/>
  <c r="L62" i="37"/>
  <c r="L61" i="37"/>
  <c r="W22" i="37"/>
  <c r="W21" i="37"/>
  <c r="W20" i="37"/>
  <c r="W23" i="37"/>
  <c r="W19" i="37"/>
  <c r="W45" i="37"/>
  <c r="W47" i="37"/>
  <c r="W48" i="37"/>
  <c r="W49" i="37"/>
  <c r="W46" i="37"/>
  <c r="Y56" i="37"/>
  <c r="X57" i="37"/>
  <c r="M33" i="37"/>
  <c r="M32" i="37"/>
  <c r="M34" i="37"/>
  <c r="M36" i="37"/>
  <c r="M35" i="37"/>
  <c r="N56" i="37"/>
  <c r="N57" i="37" s="1"/>
  <c r="M57" i="37"/>
  <c r="D40" i="22"/>
  <c r="D39" i="22"/>
  <c r="I39" i="22"/>
  <c r="F17" i="37"/>
  <c r="F18" i="37" s="1"/>
  <c r="G18" i="37"/>
  <c r="C7" i="40"/>
  <c r="F4" i="40" s="1"/>
  <c r="Z30" i="37"/>
  <c r="Z31" i="37" s="1"/>
  <c r="Y31" i="37"/>
  <c r="M18" i="37"/>
  <c r="N17" i="37"/>
  <c r="N18" i="37" s="1"/>
  <c r="T44" i="37"/>
  <c r="S43" i="37"/>
  <c r="C57" i="40"/>
  <c r="C58" i="40"/>
  <c r="U45" i="37"/>
  <c r="U48" i="37"/>
  <c r="U49" i="37"/>
  <c r="U46" i="37"/>
  <c r="U47" i="37"/>
  <c r="E39" i="22"/>
  <c r="E40" i="22"/>
  <c r="N43" i="37"/>
  <c r="N44" i="37" s="1"/>
  <c r="M44" i="37"/>
  <c r="H22" i="37"/>
  <c r="H19" i="37"/>
  <c r="H23" i="37"/>
  <c r="H21" i="37"/>
  <c r="H20" i="37"/>
  <c r="X33" i="37"/>
  <c r="X36" i="37"/>
  <c r="X35" i="37"/>
  <c r="X32" i="37"/>
  <c r="X34" i="37"/>
  <c r="T18" i="37"/>
  <c r="S17" i="37"/>
  <c r="H62" i="37"/>
  <c r="H58" i="37"/>
  <c r="H60" i="37"/>
  <c r="H59" i="37"/>
  <c r="H61" i="37"/>
  <c r="F32" i="37"/>
  <c r="F35" i="37"/>
  <c r="F33" i="37"/>
  <c r="F36" i="37"/>
  <c r="F34" i="37"/>
  <c r="H40" i="22"/>
  <c r="H39" i="22"/>
  <c r="S56" i="37"/>
  <c r="T57" i="37"/>
  <c r="G44" i="37"/>
  <c r="F43" i="37"/>
  <c r="F44" i="37" s="1"/>
  <c r="G39" i="22"/>
  <c r="G40" i="22"/>
  <c r="C56" i="41"/>
  <c r="C55" i="41"/>
  <c r="L23" i="37"/>
  <c r="L20" i="37"/>
  <c r="L21" i="37"/>
  <c r="L19" i="37"/>
  <c r="L22" i="37"/>
  <c r="U62" i="37"/>
  <c r="U60" i="37"/>
  <c r="U61" i="37"/>
  <c r="U59" i="37"/>
  <c r="U58" i="37"/>
  <c r="L46" i="37"/>
  <c r="L47" i="37"/>
  <c r="L48" i="37"/>
  <c r="L45" i="37"/>
  <c r="L49" i="37"/>
  <c r="H46" i="37"/>
  <c r="H45" i="37"/>
  <c r="H49" i="37"/>
  <c r="H48" i="37"/>
  <c r="H47" i="37"/>
  <c r="F39" i="22"/>
  <c r="F40" i="22"/>
  <c r="F54" i="41"/>
  <c r="U20" i="37" l="1"/>
  <c r="C41" i="40"/>
  <c r="F38" i="40" s="1"/>
  <c r="U22" i="37"/>
  <c r="U21" i="37"/>
  <c r="U23" i="37"/>
  <c r="M14" i="22"/>
  <c r="V19" i="37"/>
  <c r="V20" i="37"/>
  <c r="V23" i="37"/>
  <c r="V22" i="37"/>
  <c r="V21" i="37"/>
  <c r="K19" i="37"/>
  <c r="K22" i="37"/>
  <c r="K21" i="37"/>
  <c r="K23" i="37"/>
  <c r="K20" i="37"/>
  <c r="I23" i="37"/>
  <c r="I22" i="37"/>
  <c r="I19" i="37"/>
  <c r="I20" i="37"/>
  <c r="I21" i="37"/>
  <c r="J19" i="37"/>
  <c r="J20" i="37"/>
  <c r="J22" i="37"/>
  <c r="J23" i="37"/>
  <c r="J21" i="37"/>
  <c r="E3" i="22"/>
  <c r="E3" i="10"/>
  <c r="F79" i="41"/>
  <c r="C80" i="41"/>
  <c r="C81" i="41"/>
  <c r="C82" i="41"/>
  <c r="F45" i="37"/>
  <c r="F49" i="37"/>
  <c r="F48" i="37"/>
  <c r="F46" i="37"/>
  <c r="F47" i="37"/>
  <c r="Z33" i="37"/>
  <c r="Z35" i="37"/>
  <c r="Z36" i="37"/>
  <c r="Z32" i="37"/>
  <c r="Z34" i="37"/>
  <c r="G46" i="37"/>
  <c r="G48" i="37"/>
  <c r="G45" i="37"/>
  <c r="G49" i="37"/>
  <c r="G47" i="37"/>
  <c r="G62" i="37"/>
  <c r="G60" i="37"/>
  <c r="G61" i="37"/>
  <c r="G59" i="37"/>
  <c r="G58" i="37"/>
  <c r="M22" i="37"/>
  <c r="M20" i="37"/>
  <c r="M21" i="37"/>
  <c r="M19" i="37"/>
  <c r="M23" i="37"/>
  <c r="T60" i="37"/>
  <c r="T62" i="37"/>
  <c r="T59" i="37"/>
  <c r="T61" i="37"/>
  <c r="T58" i="37"/>
  <c r="M62" i="37"/>
  <c r="M61" i="37"/>
  <c r="M59" i="37"/>
  <c r="M58" i="37"/>
  <c r="M60" i="37"/>
  <c r="F58" i="37"/>
  <c r="F61" i="37"/>
  <c r="F62" i="37"/>
  <c r="F60" i="37"/>
  <c r="F59" i="37"/>
  <c r="T21" i="37"/>
  <c r="T22" i="37"/>
  <c r="T19" i="37"/>
  <c r="T23" i="37"/>
  <c r="T20" i="37"/>
  <c r="F23" i="37"/>
  <c r="F22" i="37"/>
  <c r="F20" i="37"/>
  <c r="F21" i="37"/>
  <c r="F19" i="37"/>
  <c r="X45" i="37"/>
  <c r="X47" i="37"/>
  <c r="X49" i="37"/>
  <c r="X46" i="37"/>
  <c r="X48" i="37"/>
  <c r="R56" i="37"/>
  <c r="R57" i="37" s="1"/>
  <c r="S57" i="37"/>
  <c r="N60" i="37"/>
  <c r="N62" i="37"/>
  <c r="N59" i="37"/>
  <c r="N61" i="37"/>
  <c r="N58" i="37"/>
  <c r="R32" i="37"/>
  <c r="R36" i="37"/>
  <c r="R33" i="37"/>
  <c r="R34" i="37"/>
  <c r="R35" i="37"/>
  <c r="G23" i="37"/>
  <c r="G20" i="37"/>
  <c r="G22" i="37"/>
  <c r="G21" i="37"/>
  <c r="G19" i="37"/>
  <c r="M45" i="37"/>
  <c r="M48" i="37"/>
  <c r="M46" i="37"/>
  <c r="M47" i="37"/>
  <c r="M49" i="37"/>
  <c r="Y44" i="37"/>
  <c r="Z43" i="37"/>
  <c r="Z44" i="37" s="1"/>
  <c r="X60" i="37"/>
  <c r="X62" i="37"/>
  <c r="X58" i="37"/>
  <c r="X61" i="37"/>
  <c r="X59" i="37"/>
  <c r="Z56" i="37"/>
  <c r="Z57" i="37" s="1"/>
  <c r="Y57" i="37"/>
  <c r="Y36" i="37"/>
  <c r="Y32" i="37"/>
  <c r="Y35" i="37"/>
  <c r="Y34" i="37"/>
  <c r="Y33" i="37"/>
  <c r="R17" i="37"/>
  <c r="R18" i="37" s="1"/>
  <c r="S18" i="37"/>
  <c r="S32" i="37"/>
  <c r="S33" i="37"/>
  <c r="S35" i="37"/>
  <c r="S36" i="37"/>
  <c r="S34" i="37"/>
  <c r="C61" i="40"/>
  <c r="F58" i="40" s="1"/>
  <c r="N49" i="37"/>
  <c r="N48" i="37"/>
  <c r="N47" i="37"/>
  <c r="N46" i="37"/>
  <c r="N45" i="37"/>
  <c r="S44" i="37"/>
  <c r="R43" i="37"/>
  <c r="R44" i="37" s="1"/>
  <c r="Z17" i="37"/>
  <c r="Z18" i="37" s="1"/>
  <c r="Y18" i="37"/>
  <c r="N19" i="37"/>
  <c r="N23" i="37"/>
  <c r="N20" i="37"/>
  <c r="N22" i="37"/>
  <c r="N21" i="37"/>
  <c r="C59" i="41"/>
  <c r="F56" i="41" s="1"/>
  <c r="T48" i="37"/>
  <c r="T47" i="37"/>
  <c r="T46" i="37"/>
  <c r="T49" i="37"/>
  <c r="T45" i="37"/>
  <c r="X19" i="37"/>
  <c r="X22" i="37"/>
  <c r="X23" i="37"/>
  <c r="X21" i="37"/>
  <c r="X20" i="37"/>
  <c r="I40" i="22" l="1"/>
  <c r="C84" i="41"/>
  <c r="F81" i="41" s="1"/>
  <c r="S21" i="37"/>
  <c r="S23" i="37"/>
  <c r="S20" i="37"/>
  <c r="S22" i="37"/>
  <c r="S19" i="37"/>
  <c r="S59" i="37"/>
  <c r="S60" i="37"/>
  <c r="S62" i="37"/>
  <c r="S61" i="37"/>
  <c r="S58" i="37"/>
  <c r="R20" i="37"/>
  <c r="R23" i="37"/>
  <c r="R21" i="37"/>
  <c r="R22" i="37"/>
  <c r="R19" i="37"/>
  <c r="R61" i="37"/>
  <c r="R62" i="37"/>
  <c r="R58" i="37"/>
  <c r="R59" i="37"/>
  <c r="R60" i="37"/>
  <c r="Z19" i="37"/>
  <c r="Z22" i="37"/>
  <c r="Z20" i="37"/>
  <c r="Z23" i="37"/>
  <c r="Z21" i="37"/>
  <c r="R48" i="37"/>
  <c r="R47" i="37"/>
  <c r="R46" i="37"/>
  <c r="R49" i="37"/>
  <c r="R45" i="37"/>
  <c r="S45" i="37"/>
  <c r="S49" i="37"/>
  <c r="S48" i="37"/>
  <c r="S47" i="37"/>
  <c r="S46" i="37"/>
  <c r="Z49" i="37"/>
  <c r="Z45" i="37"/>
  <c r="Z48" i="37"/>
  <c r="Z46" i="37"/>
  <c r="Z47" i="37"/>
  <c r="Y21" i="37"/>
  <c r="Y23" i="37"/>
  <c r="Y19" i="37"/>
  <c r="Y20" i="37"/>
  <c r="Y22" i="37"/>
  <c r="Y62" i="37"/>
  <c r="Y61" i="37"/>
  <c r="Y58" i="37"/>
  <c r="Y59" i="37"/>
  <c r="Y60" i="37"/>
  <c r="Y49" i="37"/>
  <c r="Y45" i="37"/>
  <c r="Y48" i="37"/>
  <c r="Y46" i="37"/>
  <c r="Y47" i="37"/>
  <c r="Z61" i="37"/>
  <c r="Z58" i="37"/>
  <c r="Z60" i="37"/>
  <c r="Z62" i="37"/>
  <c r="Z59" i="37"/>
  <c r="D40" i="2" l="1"/>
  <c r="I40" i="2"/>
  <c r="I39" i="2"/>
  <c r="G39" i="2"/>
  <c r="G40" i="2"/>
  <c r="F39" i="2"/>
  <c r="E40" i="2"/>
  <c r="E40" i="10"/>
  <c r="E39" i="10"/>
  <c r="D39" i="10"/>
  <c r="D40" i="10"/>
  <c r="H40" i="2"/>
  <c r="H39" i="2"/>
  <c r="F39" i="10"/>
</calcChain>
</file>

<file path=xl/sharedStrings.xml><?xml version="1.0" encoding="utf-8"?>
<sst xmlns="http://schemas.openxmlformats.org/spreadsheetml/2006/main" count="479" uniqueCount="179">
  <si>
    <t>NOORD WES / NORTH WEST</t>
  </si>
  <si>
    <t>2026/27 season</t>
  </si>
  <si>
    <t>Datum opgedateer / Date updated</t>
  </si>
  <si>
    <t>Gewas</t>
  </si>
  <si>
    <t>SAFEX pryse (R/ton)</t>
  </si>
  <si>
    <t>Total deductions (R/ton)</t>
  </si>
  <si>
    <t>Wit Mielies / White Maize- Jul 27</t>
  </si>
  <si>
    <t>Sonneblom / Sunflower- Mar 27</t>
  </si>
  <si>
    <t>Sojabone / Soybeans- Mei 27</t>
  </si>
  <si>
    <t>Graansorghum / Grain sorghum</t>
  </si>
  <si>
    <t>Grondbone/ Groundnuts:  Keur/ Choice 1</t>
  </si>
  <si>
    <t xml:space="preserve">                    Keur/Choice 2</t>
  </si>
  <si>
    <t xml:space="preserve">                    Diverse</t>
  </si>
  <si>
    <t xml:space="preserve">                    Pers (eet) / Crush (eat)</t>
  </si>
  <si>
    <t xml:space="preserve">                    Pers (olie) / Crush (oil)</t>
  </si>
  <si>
    <t>MIELIES / MAIZE (BT)</t>
  </si>
  <si>
    <t>MIELIES: SENSITIWITEITSANALISE - TOTALE KOSTES ( DIREKTE KOSTE + VASTE KOSTE) R/ton</t>
  </si>
  <si>
    <t>MIELIES: SENSITIWITEITSANALISE - DIREKTE KOSTE R/ton</t>
  </si>
  <si>
    <t>Lopendekoste / Variable cost (R/ha)</t>
  </si>
  <si>
    <t>Huidig</t>
  </si>
  <si>
    <t>Oorhoofse koste / Overhead cost (R/ha)</t>
  </si>
  <si>
    <t>SAFEX prys / price(R/ton)</t>
  </si>
  <si>
    <t>Totale Koste / Total cost (R/ha)</t>
  </si>
  <si>
    <t>Produsenteprys/ Producer price</t>
  </si>
  <si>
    <t>Opbrengs / Yield (t/ha)</t>
  </si>
  <si>
    <t>Gemid Opbrengs / Average Yield (t/ha)</t>
  </si>
  <si>
    <t>SAFEX Jul'27 prys/price  (R/ton)</t>
  </si>
  <si>
    <t xml:space="preserve">Aftrekkings / Deductions </t>
  </si>
  <si>
    <t>Produsenteprys/ Producer price (R/ton)</t>
  </si>
  <si>
    <t>SONNEBLOM / SUNFLOWER</t>
  </si>
  <si>
    <t>SONNEBLOM: SENSITIWITEITSANALISE - TOTALE KOSTES ( DIREKTE KOSTE + VASTE KOSTE) R/ton</t>
  </si>
  <si>
    <t>SONNEBLOM: SENSITIWITEITSANALISE - DIREKTE KOSTE R/ton</t>
  </si>
  <si>
    <t>SAFEX Mar'27 Sun prys/price  (R/ton)</t>
  </si>
  <si>
    <t>SOJABONE / SOYBEANS</t>
  </si>
  <si>
    <t>SOJABONE: SENSITIWITEITSANALISE - TOTALE KOSTES ( DIREKTE KOSTE + VASTE KOSTE) R/ton</t>
  </si>
  <si>
    <t>SOJABONE: SENSITIWITEITSANALISE - DIREKTE KOSTE R/ton</t>
  </si>
  <si>
    <t>Huidige</t>
  </si>
  <si>
    <t>SAFEX Mei'27 Soy prys/price  (R/ton)</t>
  </si>
  <si>
    <t>SORGHUM / GRAINSORGHUM</t>
  </si>
  <si>
    <t>SORGHUM: SENSITIWITEITSANALISE - TOTALE KOSTES ( DIREKTE KOSTE + VASTE KOSTE) R/ton</t>
  </si>
  <si>
    <t>SORGHUM: SENSITIWITEITSANALISE - DIREKTE KOSTE R/ton</t>
  </si>
  <si>
    <t>Contract prys/price  (R/ton)</t>
  </si>
  <si>
    <t>Produsent prys raming vir droëland wit konvensionele mielies vir die / Producer price framework for dry land white conventional maize for the</t>
  </si>
  <si>
    <t>PRODUKSIEJAAR   2026-27                     PRODUCTION YEAR 2026-27</t>
  </si>
  <si>
    <t>Huidige Produkprys op plaas vir beste graad / Current product price for the best grade (R/TON) (Safex min bemarkingskoste/marketing cost)</t>
  </si>
  <si>
    <t>Rand/ton</t>
  </si>
  <si>
    <t>Beplanningsopbrengs / Estimated yields (ton/ha)</t>
  </si>
  <si>
    <t>Bruto produksiewaarde / Gross production value (R/ha)</t>
  </si>
  <si>
    <t>Direk Toedeelbare veranderlike koste / Direct Allocated Variable costs (R/ha)</t>
  </si>
  <si>
    <t>Saad/ Seed</t>
  </si>
  <si>
    <t>Kunsmis/ Fertiliser</t>
  </si>
  <si>
    <t>Kalk/ Lime</t>
  </si>
  <si>
    <t>Brandstof/ Fuel</t>
  </si>
  <si>
    <t>Reparasie / Reparation</t>
  </si>
  <si>
    <t>Onkruiddoders/ Herbicides</t>
  </si>
  <si>
    <t>Plaagdoder/ Pesticides</t>
  </si>
  <si>
    <t>Insetversekering/ Input insurance</t>
  </si>
  <si>
    <t>Besproeiingskoste / Irrigation cost</t>
  </si>
  <si>
    <t>Graanprysverskansing/ Grain Hedging</t>
  </si>
  <si>
    <t>Kontrakwerk/ Contract work</t>
  </si>
  <si>
    <t>Oesversekering/ Crop insurance</t>
  </si>
  <si>
    <t>Lugspuit/Arial spray</t>
  </si>
  <si>
    <t>Losarbeid/ Casual labour</t>
  </si>
  <si>
    <t>Droogkoste/ Drying costs</t>
  </si>
  <si>
    <t>Verpakking en Pakmateriaal/ Packaging and packing materials</t>
  </si>
  <si>
    <t>Produksiekrediet rente (R/ha)/ Interest on production (R/ha)</t>
  </si>
  <si>
    <t>Totale Direk Toedeelbare veranderlike koste / Total Direct Allocated Variable Cost  (R/ha)</t>
  </si>
  <si>
    <t>Totale Oorhoofse koste / Total overhead cost R/ha</t>
  </si>
  <si>
    <t>Totale Koste per ha voor fisiese bemarking R/ha / Total cost per ha before marketing cost R/ha</t>
  </si>
  <si>
    <t>Totale koste per ton voor fisiese bemarking R/Ton / Total cost per ton before marketing cost R/Ton</t>
  </si>
  <si>
    <t>Totale bemarkingskoste / Total marketing cost R/ton</t>
  </si>
  <si>
    <t>Verwagte minimum Safex prys SONDER wins/ Expected minimum Safex price, WITHOUT profit</t>
  </si>
  <si>
    <t>Huidige Safex prys / Current Safex price</t>
  </si>
  <si>
    <t>BRUTO MARGE / GROSS MARGIN  (R/ha)</t>
  </si>
  <si>
    <t>NETTO MARGE / NETT MARGIN  (R/ha)</t>
  </si>
  <si>
    <r>
      <t>Disclaimer:</t>
    </r>
    <r>
      <rPr>
        <sz val="11"/>
        <rFont val="Calibri"/>
        <family val="2"/>
      </rPr>
      <t xml:space="preserve"> The information herein has been obtained from various sources, the accuracy and/or completeness of which Grain SA does not</t>
    </r>
  </si>
  <si>
    <t>guarantee and for which Grain SA accepts no liability. Any prices or levels contained herein are preliminary and indicative only and do not</t>
  </si>
  <si>
    <t>represent bids or offers. These indications are provided solely for your information and consideration.</t>
  </si>
  <si>
    <t xml:space="preserve">                                        Thank you to the Maize Trust for partially funding this project</t>
  </si>
  <si>
    <t>Produsent prys raming vir droëland WIT BT MIELIES vir die  / Producer price framework for dry land WHITE BT MAIZE for the</t>
  </si>
  <si>
    <t>BTMielies</t>
  </si>
  <si>
    <t>Opbrengspeil</t>
  </si>
  <si>
    <t>Lopende koste</t>
  </si>
  <si>
    <t>Oorhoofse koste</t>
  </si>
  <si>
    <t>Produsent prys raming vir droëland SONNEBLOM vir die                                                   / Producer price framework for dry land SUNFLOWER for the</t>
  </si>
  <si>
    <t>Produsent prys raming vir droëland SOJABONE vir die                                                   / Producer price framework for dry land SOYBEANS for the</t>
  </si>
  <si>
    <t>Saad / Seed</t>
  </si>
  <si>
    <t>Kunsmis / Fertiliser</t>
  </si>
  <si>
    <t>Kalk / Lime</t>
  </si>
  <si>
    <t>Brandstof / Fuel</t>
  </si>
  <si>
    <t>Onkruiddoders / Herbicide</t>
  </si>
  <si>
    <t>Plaagdoder / Pesticides</t>
  </si>
  <si>
    <t>Insetversekering / Input insurance</t>
  </si>
  <si>
    <t>Graanprysverskansing / Grain hedging</t>
  </si>
  <si>
    <t>Kontrakstroop / Contract Harvesting</t>
  </si>
  <si>
    <t>Oesversekering / Harvest insurance</t>
  </si>
  <si>
    <t>Lugspuit / Aerial spray</t>
  </si>
  <si>
    <t>Losarbeid / Casual labour</t>
  </si>
  <si>
    <t>Droogkoste / Drying cost</t>
  </si>
  <si>
    <t>Verpakking en Pakmateriaal / Packaging and packaging material</t>
  </si>
  <si>
    <t>Produksiekrediet rente / Interest on production R/ha</t>
  </si>
  <si>
    <t>Produsent prys raming vir droëland GRAANSORGHUM vir die  /                                                      Producer price framework for dry land GRAIN SORGHUM for the</t>
  </si>
  <si>
    <t>Produsent prys raming vir droëland GRONDBONE vir die /                                                                  Producer price framework for dry land GROUNDNUTS for the</t>
  </si>
  <si>
    <t>Graadverdeling / Grade distribution</t>
  </si>
  <si>
    <t>Prys per graad / Price per grade (R/ton)</t>
  </si>
  <si>
    <t>%</t>
  </si>
  <si>
    <t>Keur / Choice 1</t>
  </si>
  <si>
    <t>Keur / Choice 2</t>
  </si>
  <si>
    <t>Diverse / Diverse</t>
  </si>
  <si>
    <t>Pers (olie)</t>
  </si>
  <si>
    <t>Hooi verkope / sales</t>
  </si>
  <si>
    <t>Gemiddelde prys vir al die grade / Average price for all grades</t>
  </si>
  <si>
    <t>Gemiddelde prys vir al die grade</t>
  </si>
  <si>
    <t>Crop</t>
  </si>
  <si>
    <t>Maize (Conventional)</t>
  </si>
  <si>
    <t>Maize (Bt)</t>
  </si>
  <si>
    <t>Sunflower</t>
  </si>
  <si>
    <t>Soybean</t>
  </si>
  <si>
    <t>Grain Sorghum</t>
  </si>
  <si>
    <t>Groundnuts</t>
  </si>
  <si>
    <t>Irr-Maize</t>
  </si>
  <si>
    <t>National 5-year average (2020/21-2024/25 production seasons)</t>
  </si>
  <si>
    <t xml:space="preserve">1) INCOME </t>
  </si>
  <si>
    <t>Maize</t>
  </si>
  <si>
    <t>Yield target (ton/ha)</t>
  </si>
  <si>
    <t>Soybeans</t>
  </si>
  <si>
    <t>SAFEX price (best grade)</t>
  </si>
  <si>
    <t>Sunflowers</t>
  </si>
  <si>
    <t xml:space="preserve">Deductions </t>
  </si>
  <si>
    <t>Sorghum</t>
  </si>
  <si>
    <t>Net Farm Gate Price</t>
  </si>
  <si>
    <t>GROSS INCOME (R/ha)</t>
  </si>
  <si>
    <t xml:space="preserve">2) VARIABLE EXPENDITURES </t>
  </si>
  <si>
    <t>Note</t>
  </si>
  <si>
    <t>In instances where the average national yield is not estimated, the minimum estimated/ expected yield is used.</t>
  </si>
  <si>
    <t>TOTAL VARIABLE EXPENDITURE (R/ha)</t>
  </si>
  <si>
    <t>TOTAL FIXED COST (R/ha)</t>
  </si>
  <si>
    <t>TOTAL COST (R/ha)</t>
  </si>
  <si>
    <t>3) GROSS MARGIN  (R/ha)</t>
  </si>
  <si>
    <t>4) NETT MARGIN  (R/ha)</t>
  </si>
  <si>
    <t xml:space="preserve">SUMMARY </t>
  </si>
  <si>
    <t xml:space="preserve">SAFEX: Estimated Price </t>
  </si>
  <si>
    <t>LGO (ton/ha)</t>
  </si>
  <si>
    <t>Net Farm Gate Price (R/ha)</t>
  </si>
  <si>
    <t>Net Farm Gate Price (R/ton)</t>
  </si>
  <si>
    <t xml:space="preserve">2) EXPENDITURES </t>
  </si>
  <si>
    <t>Total variable cost (R/ha)</t>
  </si>
  <si>
    <t>Total variable cost (R/ton)</t>
  </si>
  <si>
    <t>Total variable &amp; fixed expenditure (R/ha)</t>
  </si>
  <si>
    <t>Total variable &amp; fixed expenditure (R/ton)</t>
  </si>
  <si>
    <t>3) MARGIN</t>
  </si>
  <si>
    <t>Gross margin (R/ha)</t>
  </si>
  <si>
    <t>Gross margin (R/ton)</t>
  </si>
  <si>
    <t>Nett margin (R/ha)</t>
  </si>
  <si>
    <t>Net margin (R/ton)</t>
  </si>
  <si>
    <t>BREAK-EVEN &amp; PROFITABILITY (ONLY variable cost)</t>
  </si>
  <si>
    <t>Break-even yields (t/ha)</t>
  </si>
  <si>
    <t>Break-even Safex price (t/ha)</t>
  </si>
  <si>
    <t>BREAK-EVEN &amp; PROFITABILITY (variable &amp; fixed cost)</t>
  </si>
  <si>
    <t>Winsgewendheid: Mielies</t>
  </si>
  <si>
    <t>Pointer</t>
  </si>
  <si>
    <t>Start</t>
  </si>
  <si>
    <t>% NM van tot</t>
  </si>
  <si>
    <t>Veranderlike koste</t>
  </si>
  <si>
    <t>Vaste koste</t>
  </si>
  <si>
    <t>End</t>
  </si>
  <si>
    <t>Totale inkomste</t>
  </si>
  <si>
    <t>Max</t>
  </si>
  <si>
    <t>Totaal</t>
  </si>
  <si>
    <t>Netto Marge</t>
  </si>
  <si>
    <t>Winsgewendheid: Sonneblom</t>
  </si>
  <si>
    <t>Winsgewendheid: Sojabone</t>
  </si>
  <si>
    <t>Winsgewendheid: Sorghum</t>
  </si>
  <si>
    <t>Winsgewendheid: Grondbone</t>
  </si>
  <si>
    <t xml:space="preserve">Pers (eet) / Crush </t>
  </si>
  <si>
    <t>Produsent prys raming vir BESPROEIING MIELIES vir die  /  Producer price framework for IRRIGATION MAIZE for the</t>
  </si>
  <si>
    <r>
      <rPr>
        <b/>
        <sz val="11"/>
        <color indexed="30"/>
        <rFont val="Aptos"/>
        <family val="2"/>
      </rPr>
      <t>NORTH WEST</t>
    </r>
    <r>
      <rPr>
        <b/>
        <sz val="11"/>
        <color indexed="8"/>
        <rFont val="Aptos"/>
        <family val="2"/>
      </rPr>
      <t xml:space="preserve"> INCOME &amp; COST BUDGETS - SUMMER CROPS 2026/27</t>
    </r>
  </si>
  <si>
    <r>
      <rPr>
        <b/>
        <sz val="11"/>
        <color indexed="8"/>
        <rFont val="Aptos"/>
        <family val="2"/>
      </rPr>
      <t>Disclaimer:</t>
    </r>
    <r>
      <rPr>
        <sz val="11"/>
        <rFont val="Aptos"/>
        <family val="2"/>
      </rPr>
      <t xml:space="preserve"> The information herein has been obtained from various sources, the accuracy and/or completeness of which Grain SA does not guarantee and for which Grain SA accepts no liability. Any prices or levels contained herein are preliminary and indicative only and do not represent bids or offers. These indications are provided solely for your information and consideration.</t>
    </r>
  </si>
  <si>
    <r>
      <t>Disclaimer:</t>
    </r>
    <r>
      <rPr>
        <sz val="11"/>
        <rFont val="Aptos"/>
        <family val="2"/>
      </rPr>
      <t xml:space="preserve"> The information herein has been obtained from various sources, the accuracy and/or completeness of which Grain SA does not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</si>
</sst>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44" formatCode="_-&quot;R&quot;* #,##0.00_-;\-&quot;R&quot;* #,##0.00_-;_-&quot;R&quot;* &quot;-&quot;??_-;_-@_-"/>
    <numFmt numFmtId="43" formatCode="_-* #,##0.00_-;\-* #,##0.00_-;_-* &quot;-&quot;??_-;_-@_-"/>
    <numFmt numFmtId="164" formatCode="_(&quot;$&quot;* #,##0.00_);_(&quot;$&quot;* \(#,##0.00\);_(&quot;$&quot;* &quot;-&quot;??_);_(@_)"/>
    <numFmt numFmtId="165" formatCode="_(* #,##0.00_);_(* \(#,##0.00\);_(* &quot;-&quot;??_);_(@_)"/>
    <numFmt numFmtId="166" formatCode="_ &quot;R&quot;\ * #,##0.00_ ;_ &quot;R&quot;\ * \-#,##0.00_ ;_ &quot;R&quot;\ * &quot;-&quot;??_ ;_ @_ "/>
    <numFmt numFmtId="167" formatCode="_ * #,##0.00_ ;_ * \-#,##0.00_ ;_ * &quot;-&quot;??_ ;_ @_ "/>
    <numFmt numFmtId="168" formatCode="0.00_)"/>
    <numFmt numFmtId="169" formatCode="_ * #,##0.0_ ;_ * \-#,##0.0_ ;_ * &quot;-&quot;?_ ;_ @_ "/>
    <numFmt numFmtId="170" formatCode="_ * #,##0_ ;_ * \-#,##0_ ;_ * &quot;-&quot;??_ ;_ @_ "/>
    <numFmt numFmtId="171" formatCode="_ * #,##0.00_ ;_ * \-#,##0.00_ ;_ * &quot;-&quot;?_ ;_ @_ "/>
    <numFmt numFmtId="172" formatCode="0.0"/>
    <numFmt numFmtId="173" formatCode="&quot;R&quot;\ #,##0.00"/>
    <numFmt numFmtId="174" formatCode="&quot;R&quot;\ #,##0"/>
    <numFmt numFmtId="175" formatCode="_ [$R-1C09]\ * #,##0.00_ ;_ [$R-1C09]\ * \-#,##0.00_ ;_ [$R-1C09]\ * &quot;-&quot;??_ ;_ @_ "/>
    <numFmt numFmtId="176" formatCode="0.0%"/>
    <numFmt numFmtId="177" formatCode="_ [$R-1C09]\ * #,##0_ ;_ [$R-1C09]\ * \-#,##0_ ;_ [$R-1C09]\ * &quot;-&quot;??_ ;_ @_ "/>
    <numFmt numFmtId="178" formatCode="&quot;R&quot;#,##0.00"/>
    <numFmt numFmtId="179" formatCode="_-&quot;R&quot;* #,##0_-;\-&quot;R&quot;* #,##0_-;_-&quot;R&quot;* &quot;-&quot;??_-;_-@_-"/>
    <numFmt numFmtId="180" formatCode="&quot;R&quot;#,##0"/>
  </numFmts>
  <fonts count="42" x14ac:knownFonts="1">
    <font>
      <sz val="10"/>
      <name val="Arial"/>
    </font>
    <font>
      <sz val="11"/>
      <color indexed="8"/>
      <name val="Calibri"/>
      <family val="2"/>
    </font>
    <font>
      <b/>
      <sz val="10"/>
      <name val="Arial"/>
      <family val="2"/>
    </font>
    <font>
      <sz val="10"/>
      <name val="Arial"/>
      <family val="2"/>
    </font>
    <font>
      <b/>
      <sz val="10"/>
      <color indexed="10"/>
      <name val="Arial"/>
      <family val="2"/>
    </font>
    <font>
      <u/>
      <sz val="10"/>
      <color indexed="12"/>
      <name val="Courier"/>
      <family val="3"/>
    </font>
    <font>
      <b/>
      <sz val="12"/>
      <name val="Arial"/>
      <family val="2"/>
    </font>
    <font>
      <sz val="12"/>
      <name val="Arial"/>
      <family val="2"/>
    </font>
    <font>
      <sz val="10"/>
      <name val="Arial"/>
      <family val="2"/>
    </font>
    <font>
      <sz val="10"/>
      <name val="Arial"/>
      <family val="2"/>
    </font>
    <font>
      <sz val="8"/>
      <name val="Arial"/>
      <family val="2"/>
    </font>
    <font>
      <sz val="10"/>
      <name val="Segoe UI"/>
      <family val="2"/>
      <charset val="1"/>
    </font>
    <font>
      <sz val="10"/>
      <name val="Arial Black"/>
      <family val="2"/>
    </font>
    <font>
      <b/>
      <sz val="11"/>
      <name val="Calibri"/>
      <family val="2"/>
    </font>
    <font>
      <sz val="11"/>
      <name val="Calibri"/>
      <family val="2"/>
    </font>
    <font>
      <sz val="10"/>
      <name val="Arial"/>
      <family val="2"/>
    </font>
    <font>
      <u/>
      <sz val="7.5"/>
      <color indexed="12"/>
      <name val="Arial"/>
      <family val="2"/>
    </font>
    <font>
      <sz val="11"/>
      <color indexed="8"/>
      <name val="Calibri"/>
      <family val="2"/>
    </font>
    <font>
      <b/>
      <sz val="11"/>
      <color indexed="8"/>
      <name val="Calibri"/>
      <family val="2"/>
    </font>
    <font>
      <sz val="11"/>
      <color indexed="10"/>
      <name val="Calibri"/>
      <family val="2"/>
    </font>
    <font>
      <b/>
      <sz val="18"/>
      <color indexed="17"/>
      <name val="Arial"/>
      <family val="2"/>
    </font>
    <font>
      <b/>
      <sz val="10"/>
      <color indexed="8"/>
      <name val="Arial"/>
      <family val="2"/>
    </font>
    <font>
      <b/>
      <sz val="11"/>
      <color indexed="10"/>
      <name val="Calibri"/>
      <family val="2"/>
    </font>
    <font>
      <sz val="11"/>
      <name val="Times New Roman"/>
      <family val="1"/>
    </font>
    <font>
      <sz val="10"/>
      <name val="Arial"/>
      <family val="2"/>
    </font>
    <font>
      <sz val="11"/>
      <color theme="1"/>
      <name val="Calibri"/>
      <family val="2"/>
      <scheme val="minor"/>
    </font>
    <font>
      <sz val="10"/>
      <color theme="1"/>
      <name val="Arial"/>
      <family val="2"/>
    </font>
    <font>
      <b/>
      <sz val="11"/>
      <color theme="1"/>
      <name val="Calibri"/>
      <family val="2"/>
      <scheme val="minor"/>
    </font>
    <font>
      <sz val="10"/>
      <color rgb="FFFF0000"/>
      <name val="Arial"/>
      <family val="2"/>
    </font>
    <font>
      <sz val="10"/>
      <color theme="0"/>
      <name val="Arial"/>
      <family val="2"/>
    </font>
    <font>
      <b/>
      <sz val="11"/>
      <color theme="0"/>
      <name val="Arial"/>
      <family val="2"/>
    </font>
    <font>
      <b/>
      <sz val="10"/>
      <color theme="0"/>
      <name val="Arial"/>
      <family val="2"/>
    </font>
    <font>
      <sz val="11"/>
      <name val="Calibri"/>
      <family val="2"/>
      <scheme val="minor"/>
    </font>
    <font>
      <b/>
      <u/>
      <sz val="11"/>
      <color theme="1"/>
      <name val="Calibri"/>
      <family val="2"/>
      <scheme val="minor"/>
    </font>
    <font>
      <b/>
      <sz val="11"/>
      <color indexed="8"/>
      <name val="Aptos"/>
      <family val="2"/>
    </font>
    <font>
      <b/>
      <sz val="11"/>
      <color indexed="30"/>
      <name val="Aptos"/>
      <family val="2"/>
    </font>
    <font>
      <sz val="10"/>
      <name val="Aptos"/>
      <family val="2"/>
    </font>
    <font>
      <b/>
      <sz val="11"/>
      <color theme="0"/>
      <name val="Aptos"/>
      <family val="2"/>
    </font>
    <font>
      <b/>
      <sz val="11"/>
      <name val="Aptos"/>
      <family val="2"/>
    </font>
    <font>
      <sz val="11"/>
      <name val="Aptos"/>
      <family val="2"/>
    </font>
    <font>
      <sz val="11"/>
      <color theme="0"/>
      <name val="Aptos"/>
      <family val="2"/>
    </font>
    <font>
      <b/>
      <sz val="11"/>
      <color indexed="10"/>
      <name val="Aptos"/>
      <family val="2"/>
    </font>
  </fonts>
  <fills count="11">
    <fill>
      <patternFill patternType="none"/>
    </fill>
    <fill>
      <patternFill patternType="gray125"/>
    </fill>
    <fill>
      <patternFill patternType="solid">
        <fgColor indexed="9"/>
        <bgColor indexed="64"/>
      </patternFill>
    </fill>
    <fill>
      <patternFill patternType="solid">
        <fgColor indexed="45"/>
        <bgColor indexed="64"/>
      </patternFill>
    </fill>
    <fill>
      <patternFill patternType="solid">
        <fgColor indexed="40"/>
        <bgColor indexed="64"/>
      </patternFill>
    </fill>
    <fill>
      <patternFill patternType="solid">
        <fgColor indexed="9"/>
        <bgColor indexed="9"/>
      </patternFill>
    </fill>
    <fill>
      <patternFill patternType="solid">
        <fgColor indexed="22"/>
        <bgColor indexed="9"/>
      </patternFill>
    </fill>
    <fill>
      <patternFill patternType="solid">
        <fgColor theme="0"/>
        <bgColor indexed="64"/>
      </patternFill>
    </fill>
    <fill>
      <patternFill patternType="solid">
        <fgColor rgb="FF3A6367"/>
        <bgColor indexed="64"/>
      </patternFill>
    </fill>
    <fill>
      <patternFill patternType="solid">
        <fgColor rgb="FFAD9244"/>
        <bgColor indexed="64"/>
      </patternFill>
    </fill>
    <fill>
      <patternFill patternType="solid">
        <fgColor theme="4" tint="-0.249977111117893"/>
        <bgColor indexed="64"/>
      </patternFill>
    </fill>
  </fills>
  <borders count="55">
    <border>
      <left/>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double">
        <color indexed="64"/>
      </top>
      <bottom style="double">
        <color indexed="64"/>
      </bottom>
      <diagonal/>
    </border>
    <border>
      <left/>
      <right/>
      <top style="thin">
        <color indexed="64"/>
      </top>
      <bottom/>
      <diagonal/>
    </border>
    <border>
      <left style="thin">
        <color indexed="64"/>
      </left>
      <right/>
      <top style="thin">
        <color indexed="64"/>
      </top>
      <bottom/>
      <diagonal/>
    </border>
    <border>
      <left/>
      <right/>
      <top/>
      <bottom style="double">
        <color indexed="64"/>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thin">
        <color indexed="64"/>
      </top>
      <bottom/>
      <diagonal/>
    </border>
    <border>
      <left/>
      <right style="medium">
        <color indexed="64"/>
      </right>
      <top/>
      <bottom style="double">
        <color indexed="64"/>
      </bottom>
      <diagonal/>
    </border>
    <border>
      <left/>
      <right style="medium">
        <color indexed="64"/>
      </right>
      <top style="double">
        <color indexed="64"/>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s>
  <cellStyleXfs count="128">
    <xf numFmtId="0" fontId="0" fillId="0" borderId="0"/>
    <xf numFmtId="167" fontId="8"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7" fillId="0" borderId="0" applyFont="0" applyFill="0" applyBorder="0" applyAlignment="0" applyProtection="0"/>
    <xf numFmtId="167" fontId="1" fillId="0" borderId="0" applyFont="0" applyFill="0" applyBorder="0" applyAlignment="0" applyProtection="0"/>
    <xf numFmtId="167" fontId="17" fillId="0" borderId="0" applyFont="0" applyFill="0" applyBorder="0" applyAlignment="0" applyProtection="0"/>
    <xf numFmtId="167" fontId="1" fillId="0" borderId="0" applyFont="0" applyFill="0" applyBorder="0" applyAlignment="0" applyProtection="0"/>
    <xf numFmtId="167" fontId="25"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4" fontId="3" fillId="0" borderId="0" applyFont="0" applyFill="0" applyBorder="0" applyAlignment="0" applyProtection="0"/>
    <xf numFmtId="166" fontId="17" fillId="0" borderId="0" applyFont="0" applyFill="0" applyBorder="0" applyAlignment="0" applyProtection="0"/>
    <xf numFmtId="166" fontId="1" fillId="0" borderId="0" applyFont="0" applyFill="0" applyBorder="0" applyAlignment="0" applyProtection="0"/>
    <xf numFmtId="166" fontId="25" fillId="0" borderId="0" applyFont="0" applyFill="0" applyBorder="0" applyAlignment="0" applyProtection="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3" fillId="0" borderId="0"/>
    <xf numFmtId="0" fontId="10" fillId="0" borderId="0"/>
    <xf numFmtId="0" fontId="10" fillId="0" borderId="0"/>
    <xf numFmtId="0" fontId="10" fillId="0" borderId="0"/>
    <xf numFmtId="0" fontId="3" fillId="0" borderId="0"/>
    <xf numFmtId="0" fontId="3" fillId="0" borderId="0"/>
    <xf numFmtId="0" fontId="11" fillId="0" borderId="0"/>
    <xf numFmtId="0" fontId="10" fillId="0" borderId="0"/>
    <xf numFmtId="0" fontId="26" fillId="0" borderId="0"/>
    <xf numFmtId="0" fontId="26" fillId="0" borderId="0"/>
    <xf numFmtId="0" fontId="3" fillId="0" borderId="0"/>
    <xf numFmtId="0" fontId="26" fillId="0" borderId="0"/>
    <xf numFmtId="0" fontId="26" fillId="0" borderId="0"/>
    <xf numFmtId="0" fontId="23" fillId="0" borderId="0"/>
    <xf numFmtId="0" fontId="3" fillId="0" borderId="0"/>
    <xf numFmtId="0" fontId="3" fillId="0" borderId="0"/>
    <xf numFmtId="0" fontId="25" fillId="0" borderId="0"/>
    <xf numFmtId="0" fontId="26" fillId="0" borderId="0"/>
    <xf numFmtId="0" fontId="26" fillId="0" borderId="0"/>
    <xf numFmtId="0" fontId="3" fillId="0" borderId="0"/>
    <xf numFmtId="0" fontId="26" fillId="0" borderId="0"/>
    <xf numFmtId="0" fontId="26" fillId="0" borderId="0"/>
    <xf numFmtId="0" fontId="3" fillId="0" borderId="0"/>
    <xf numFmtId="0" fontId="26" fillId="0" borderId="0"/>
    <xf numFmtId="0" fontId="26" fillId="0" borderId="0"/>
    <xf numFmtId="0" fontId="25" fillId="0" borderId="0"/>
    <xf numFmtId="0" fontId="10" fillId="0" borderId="0"/>
    <xf numFmtId="0" fontId="10" fillId="0" borderId="0"/>
    <xf numFmtId="0" fontId="25" fillId="0" borderId="0"/>
    <xf numFmtId="0" fontId="3" fillId="0" borderId="0"/>
    <xf numFmtId="0" fontId="10" fillId="0" borderId="0"/>
    <xf numFmtId="0" fontId="10" fillId="0" borderId="0"/>
    <xf numFmtId="0" fontId="11"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2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5" fillId="0" borderId="0" applyFont="0" applyFill="0" applyBorder="0" applyAlignment="0" applyProtection="0"/>
    <xf numFmtId="9" fontId="3" fillId="0" borderId="0" applyFont="0" applyFill="0" applyBorder="0" applyAlignment="0" applyProtection="0"/>
    <xf numFmtId="9" fontId="15" fillId="0" borderId="0" applyFont="0" applyFill="0" applyBorder="0" applyAlignment="0" applyProtection="0"/>
    <xf numFmtId="9" fontId="3"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cellStyleXfs>
  <cellXfs count="570">
    <xf numFmtId="0" fontId="0" fillId="0" borderId="0" xfId="0"/>
    <xf numFmtId="0" fontId="3" fillId="0" borderId="0" xfId="0" applyFont="1" applyProtection="1">
      <protection hidden="1"/>
    </xf>
    <xf numFmtId="0" fontId="3" fillId="0" borderId="1" xfId="0" applyFont="1" applyBorder="1" applyProtection="1">
      <protection hidden="1"/>
    </xf>
    <xf numFmtId="0" fontId="2" fillId="0" borderId="3" xfId="0" applyFont="1" applyBorder="1" applyAlignment="1" applyProtection="1">
      <alignment horizontal="centerContinuous"/>
      <protection hidden="1"/>
    </xf>
    <xf numFmtId="0" fontId="2" fillId="0" borderId="3" xfId="0" applyFont="1" applyBorder="1" applyAlignment="1" applyProtection="1">
      <alignment horizontal="left"/>
      <protection hidden="1"/>
    </xf>
    <xf numFmtId="0" fontId="3" fillId="0" borderId="3" xfId="0" applyFont="1" applyBorder="1" applyAlignment="1" applyProtection="1">
      <alignment horizontal="centerContinuous"/>
      <protection hidden="1"/>
    </xf>
    <xf numFmtId="0" fontId="3" fillId="0" borderId="5" xfId="0" applyFont="1" applyBorder="1" applyProtection="1">
      <protection hidden="1"/>
    </xf>
    <xf numFmtId="165" fontId="3" fillId="0" borderId="0" xfId="0" applyNumberFormat="1" applyFont="1" applyProtection="1">
      <protection hidden="1"/>
    </xf>
    <xf numFmtId="0" fontId="6" fillId="0" borderId="6" xfId="0" applyFont="1" applyBorder="1" applyAlignment="1" applyProtection="1">
      <alignment horizontal="left"/>
      <protection hidden="1"/>
    </xf>
    <xf numFmtId="0" fontId="6" fillId="0" borderId="5" xfId="0" applyFont="1" applyBorder="1" applyAlignment="1" applyProtection="1">
      <alignment horizontal="left"/>
      <protection hidden="1"/>
    </xf>
    <xf numFmtId="0" fontId="7" fillId="0" borderId="5" xfId="0" applyFont="1" applyBorder="1" applyProtection="1">
      <protection hidden="1"/>
    </xf>
    <xf numFmtId="0" fontId="4" fillId="0" borderId="3" xfId="0" applyFont="1" applyBorder="1" applyProtection="1">
      <protection hidden="1"/>
    </xf>
    <xf numFmtId="0" fontId="3" fillId="0" borderId="2" xfId="0" applyFont="1" applyBorder="1" applyProtection="1">
      <protection hidden="1"/>
    </xf>
    <xf numFmtId="0" fontId="2" fillId="2" borderId="4" xfId="0" applyFont="1" applyFill="1" applyBorder="1" applyProtection="1">
      <protection hidden="1"/>
    </xf>
    <xf numFmtId="168" fontId="2" fillId="2" borderId="4" xfId="0" applyNumberFormat="1" applyFont="1" applyFill="1" applyBorder="1" applyProtection="1">
      <protection hidden="1"/>
    </xf>
    <xf numFmtId="165" fontId="2" fillId="0" borderId="0" xfId="0" applyNumberFormat="1" applyFont="1" applyProtection="1">
      <protection hidden="1"/>
    </xf>
    <xf numFmtId="167" fontId="3" fillId="0" borderId="0" xfId="0" applyNumberFormat="1" applyFont="1" applyProtection="1">
      <protection hidden="1"/>
    </xf>
    <xf numFmtId="0" fontId="3" fillId="0" borderId="0" xfId="74"/>
    <xf numFmtId="0" fontId="3" fillId="0" borderId="0" xfId="40"/>
    <xf numFmtId="0" fontId="3" fillId="0" borderId="12" xfId="74" applyBorder="1" applyAlignment="1">
      <alignment horizontal="center" vertical="center" wrapText="1"/>
    </xf>
    <xf numFmtId="0" fontId="3" fillId="0" borderId="3" xfId="74" applyBorder="1" applyAlignment="1">
      <alignment horizontal="center" vertical="center" wrapText="1"/>
    </xf>
    <xf numFmtId="0" fontId="21" fillId="2" borderId="4" xfId="74" applyFont="1" applyFill="1" applyBorder="1" applyAlignment="1">
      <alignment horizontal="center" vertical="center"/>
    </xf>
    <xf numFmtId="0" fontId="2" fillId="2" borderId="4" xfId="74" applyFont="1" applyFill="1" applyBorder="1" applyAlignment="1">
      <alignment horizontal="center" vertical="center"/>
    </xf>
    <xf numFmtId="0" fontId="2" fillId="0" borderId="13" xfId="74" applyFont="1" applyBorder="1" applyAlignment="1">
      <alignment horizontal="center" vertical="center"/>
    </xf>
    <xf numFmtId="172" fontId="2" fillId="0" borderId="12" xfId="74" applyNumberFormat="1" applyFont="1" applyBorder="1" applyAlignment="1">
      <alignment horizontal="center" vertical="center"/>
    </xf>
    <xf numFmtId="1" fontId="2" fillId="3" borderId="14" xfId="74" applyNumberFormat="1" applyFont="1" applyFill="1" applyBorder="1" applyAlignment="1">
      <alignment horizontal="center" vertical="center"/>
    </xf>
    <xf numFmtId="1" fontId="2" fillId="3" borderId="15" xfId="74" applyNumberFormat="1" applyFont="1" applyFill="1" applyBorder="1" applyAlignment="1">
      <alignment horizontal="center" vertical="center"/>
    </xf>
    <xf numFmtId="1" fontId="2" fillId="4" borderId="15" xfId="74" applyNumberFormat="1" applyFont="1" applyFill="1" applyBorder="1" applyAlignment="1">
      <alignment horizontal="center" vertical="center"/>
    </xf>
    <xf numFmtId="1" fontId="2" fillId="4" borderId="16" xfId="74" applyNumberFormat="1" applyFont="1" applyFill="1" applyBorder="1" applyAlignment="1">
      <alignment horizontal="center" vertical="center"/>
    </xf>
    <xf numFmtId="1" fontId="2" fillId="3" borderId="17" xfId="74" applyNumberFormat="1" applyFont="1" applyFill="1" applyBorder="1" applyAlignment="1">
      <alignment horizontal="center" vertical="center"/>
    </xf>
    <xf numFmtId="1" fontId="2" fillId="3" borderId="18" xfId="74" applyNumberFormat="1" applyFont="1" applyFill="1" applyBorder="1" applyAlignment="1">
      <alignment horizontal="center" vertical="center"/>
    </xf>
    <xf numFmtId="1" fontId="2" fillId="4" borderId="18" xfId="74" applyNumberFormat="1" applyFont="1" applyFill="1" applyBorder="1" applyAlignment="1">
      <alignment horizontal="center" vertical="center"/>
    </xf>
    <xf numFmtId="1" fontId="2" fillId="4" borderId="19" xfId="74" applyNumberFormat="1" applyFont="1" applyFill="1" applyBorder="1" applyAlignment="1">
      <alignment horizontal="center" vertical="center"/>
    </xf>
    <xf numFmtId="1" fontId="2" fillId="3" borderId="20" xfId="74" applyNumberFormat="1" applyFont="1" applyFill="1" applyBorder="1" applyAlignment="1">
      <alignment horizontal="center" vertical="center"/>
    </xf>
    <xf numFmtId="1" fontId="2" fillId="3" borderId="21" xfId="74" applyNumberFormat="1" applyFont="1" applyFill="1" applyBorder="1" applyAlignment="1">
      <alignment horizontal="center" vertical="center"/>
    </xf>
    <xf numFmtId="1" fontId="2" fillId="4" borderId="21" xfId="74" applyNumberFormat="1" applyFont="1" applyFill="1" applyBorder="1" applyAlignment="1">
      <alignment horizontal="center" vertical="center"/>
    </xf>
    <xf numFmtId="1" fontId="2" fillId="4" borderId="22" xfId="74" applyNumberFormat="1" applyFont="1" applyFill="1" applyBorder="1" applyAlignment="1">
      <alignment horizontal="center" vertical="center"/>
    </xf>
    <xf numFmtId="0" fontId="12" fillId="0" borderId="0" xfId="74" applyFont="1" applyAlignment="1">
      <alignment horizontal="center" vertical="center" textRotation="90" wrapText="1"/>
    </xf>
    <xf numFmtId="172" fontId="12" fillId="0" borderId="0" xfId="74" applyNumberFormat="1" applyFont="1" applyAlignment="1">
      <alignment horizontal="center" vertical="center"/>
    </xf>
    <xf numFmtId="1" fontId="12" fillId="0" borderId="0" xfId="74" applyNumberFormat="1" applyFont="1" applyAlignment="1">
      <alignment horizontal="center" vertical="center"/>
    </xf>
    <xf numFmtId="170" fontId="2" fillId="2" borderId="4" xfId="74" applyNumberFormat="1" applyFont="1" applyFill="1" applyBorder="1" applyAlignment="1">
      <alignment horizontal="center" vertical="center"/>
    </xf>
    <xf numFmtId="170" fontId="21" fillId="2" borderId="4" xfId="74" applyNumberFormat="1" applyFont="1" applyFill="1" applyBorder="1" applyAlignment="1">
      <alignment horizontal="center" vertical="center"/>
    </xf>
    <xf numFmtId="170" fontId="21" fillId="0" borderId="13" xfId="74" applyNumberFormat="1" applyFont="1" applyBorder="1" applyAlignment="1">
      <alignment horizontal="center" vertical="center"/>
    </xf>
    <xf numFmtId="170" fontId="2" fillId="0" borderId="13" xfId="74" applyNumberFormat="1" applyFont="1" applyBorder="1" applyAlignment="1">
      <alignment horizontal="center" vertical="center"/>
    </xf>
    <xf numFmtId="0" fontId="13" fillId="2" borderId="23" xfId="40" applyFont="1" applyFill="1" applyBorder="1" applyAlignment="1">
      <alignment vertical="center"/>
    </xf>
    <xf numFmtId="0" fontId="3" fillId="2" borderId="24" xfId="40" applyFill="1" applyBorder="1" applyProtection="1">
      <protection hidden="1"/>
    </xf>
    <xf numFmtId="0" fontId="3" fillId="2" borderId="11" xfId="40" applyFill="1" applyBorder="1" applyProtection="1">
      <protection hidden="1"/>
    </xf>
    <xf numFmtId="0" fontId="14" fillId="2" borderId="25" xfId="40" applyFont="1" applyFill="1" applyBorder="1" applyAlignment="1">
      <alignment vertical="center"/>
    </xf>
    <xf numFmtId="0" fontId="3" fillId="2" borderId="0" xfId="40" applyFill="1" applyProtection="1">
      <protection hidden="1"/>
    </xf>
    <xf numFmtId="0" fontId="3" fillId="2" borderId="10" xfId="40" applyFill="1" applyBorder="1" applyProtection="1">
      <protection hidden="1"/>
    </xf>
    <xf numFmtId="0" fontId="14" fillId="2" borderId="6" xfId="40" applyFont="1" applyFill="1" applyBorder="1" applyAlignment="1">
      <alignment vertical="center"/>
    </xf>
    <xf numFmtId="0" fontId="3" fillId="2" borderId="5" xfId="40" applyFill="1" applyBorder="1" applyProtection="1">
      <protection hidden="1"/>
    </xf>
    <xf numFmtId="0" fontId="3" fillId="2" borderId="1" xfId="40" applyFill="1" applyBorder="1" applyProtection="1">
      <protection hidden="1"/>
    </xf>
    <xf numFmtId="0" fontId="2" fillId="0" borderId="12" xfId="0" applyFont="1" applyBorder="1" applyAlignment="1" applyProtection="1">
      <alignment horizontal="left"/>
      <protection hidden="1"/>
    </xf>
    <xf numFmtId="0" fontId="2" fillId="0" borderId="25" xfId="0" applyFont="1" applyBorder="1" applyAlignment="1" applyProtection="1">
      <alignment horizontal="left"/>
      <protection hidden="1"/>
    </xf>
    <xf numFmtId="0" fontId="2" fillId="0" borderId="0" xfId="0" applyFont="1" applyAlignment="1" applyProtection="1">
      <alignment horizontal="left"/>
      <protection hidden="1"/>
    </xf>
    <xf numFmtId="0" fontId="2" fillId="0" borderId="12" xfId="40" applyFont="1" applyBorder="1" applyAlignment="1" applyProtection="1">
      <alignment horizontal="left"/>
      <protection hidden="1"/>
    </xf>
    <xf numFmtId="0" fontId="2" fillId="0" borderId="26" xfId="40" applyFont="1" applyBorder="1" applyAlignment="1" applyProtection="1">
      <alignment horizontal="left"/>
      <protection hidden="1"/>
    </xf>
    <xf numFmtId="0" fontId="2" fillId="0" borderId="25" xfId="40" applyFont="1" applyBorder="1" applyAlignment="1" applyProtection="1">
      <alignment horizontal="left"/>
      <protection hidden="1"/>
    </xf>
    <xf numFmtId="0" fontId="2" fillId="0" borderId="0" xfId="40" applyFont="1" applyAlignment="1" applyProtection="1">
      <alignment horizontal="left"/>
      <protection hidden="1"/>
    </xf>
    <xf numFmtId="0" fontId="2" fillId="0" borderId="28" xfId="40" applyFont="1" applyBorder="1" applyAlignment="1" applyProtection="1">
      <alignment horizontal="left"/>
      <protection hidden="1"/>
    </xf>
    <xf numFmtId="0" fontId="2" fillId="0" borderId="29" xfId="40" applyFont="1" applyBorder="1" applyAlignment="1" applyProtection="1">
      <alignment horizontal="left"/>
      <protection hidden="1"/>
    </xf>
    <xf numFmtId="0" fontId="2" fillId="2" borderId="25" xfId="40" applyFont="1" applyFill="1" applyBorder="1" applyAlignment="1" applyProtection="1">
      <alignment horizontal="left"/>
      <protection hidden="1"/>
    </xf>
    <xf numFmtId="0" fontId="2" fillId="2" borderId="0" xfId="40" applyFont="1" applyFill="1" applyAlignment="1" applyProtection="1">
      <alignment horizontal="left"/>
      <protection hidden="1"/>
    </xf>
    <xf numFmtId="0" fontId="19" fillId="0" borderId="0" xfId="56" applyFont="1"/>
    <xf numFmtId="167" fontId="19" fillId="0" borderId="0" xfId="56" applyNumberFormat="1" applyFont="1"/>
    <xf numFmtId="170" fontId="2" fillId="3" borderId="14" xfId="74" applyNumberFormat="1" applyFont="1" applyFill="1" applyBorder="1" applyAlignment="1">
      <alignment horizontal="center" vertical="center"/>
    </xf>
    <xf numFmtId="0" fontId="3" fillId="0" borderId="5" xfId="0" applyFont="1" applyBorder="1" applyAlignment="1" applyProtection="1">
      <alignment horizontal="centerContinuous"/>
      <protection hidden="1"/>
    </xf>
    <xf numFmtId="0" fontId="0" fillId="5" borderId="0" xfId="0" applyFill="1" applyAlignment="1">
      <alignment wrapText="1"/>
    </xf>
    <xf numFmtId="0" fontId="6" fillId="0" borderId="23" xfId="0" applyFont="1" applyBorder="1" applyAlignment="1" applyProtection="1">
      <alignment horizontal="left"/>
      <protection hidden="1"/>
    </xf>
    <xf numFmtId="0" fontId="2" fillId="0" borderId="6" xfId="0" applyFont="1" applyBorder="1" applyAlignment="1" applyProtection="1">
      <alignment horizontal="left"/>
      <protection hidden="1"/>
    </xf>
    <xf numFmtId="0" fontId="0" fillId="2" borderId="0" xfId="0" applyFill="1"/>
    <xf numFmtId="0" fontId="6" fillId="0" borderId="24" xfId="0" applyFont="1" applyBorder="1" applyAlignment="1" applyProtection="1">
      <alignment horizontal="left"/>
      <protection hidden="1"/>
    </xf>
    <xf numFmtId="0" fontId="0" fillId="5" borderId="33" xfId="0" applyFill="1" applyBorder="1"/>
    <xf numFmtId="0" fontId="3" fillId="0" borderId="24" xfId="0" applyFont="1" applyBorder="1" applyProtection="1">
      <protection hidden="1"/>
    </xf>
    <xf numFmtId="0" fontId="0" fillId="5" borderId="0" xfId="0" applyFill="1"/>
    <xf numFmtId="0" fontId="4" fillId="0" borderId="5" xfId="0" applyFont="1" applyBorder="1" applyProtection="1">
      <protection hidden="1"/>
    </xf>
    <xf numFmtId="0" fontId="0" fillId="5" borderId="0" xfId="0" applyFill="1" applyAlignment="1">
      <alignment vertical="center" wrapText="1"/>
    </xf>
    <xf numFmtId="175" fontId="0" fillId="0" borderId="0" xfId="0" applyNumberFormat="1"/>
    <xf numFmtId="0" fontId="2" fillId="0" borderId="1" xfId="0" applyFont="1" applyBorder="1" applyAlignment="1" applyProtection="1">
      <alignment horizontal="left"/>
      <protection hidden="1"/>
    </xf>
    <xf numFmtId="0" fontId="2" fillId="0" borderId="5" xfId="0" applyFont="1" applyBorder="1" applyAlignment="1" applyProtection="1">
      <alignment horizontal="centerContinuous"/>
      <protection hidden="1"/>
    </xf>
    <xf numFmtId="0" fontId="7" fillId="0" borderId="24" xfId="0" applyFont="1" applyBorder="1" applyProtection="1">
      <protection hidden="1"/>
    </xf>
    <xf numFmtId="0" fontId="19" fillId="0" borderId="0" xfId="0" applyFont="1"/>
    <xf numFmtId="0" fontId="2" fillId="0" borderId="5" xfId="0" applyFont="1" applyBorder="1" applyAlignment="1" applyProtection="1">
      <alignment horizontal="left"/>
      <protection hidden="1"/>
    </xf>
    <xf numFmtId="0" fontId="19" fillId="2" borderId="0" xfId="0" applyFont="1" applyFill="1"/>
    <xf numFmtId="0" fontId="18" fillId="5" borderId="34" xfId="0" applyFont="1" applyFill="1" applyBorder="1"/>
    <xf numFmtId="0" fontId="3" fillId="7" borderId="0" xfId="74" applyFill="1"/>
    <xf numFmtId="0" fontId="6" fillId="7" borderId="0" xfId="74" applyFont="1" applyFill="1"/>
    <xf numFmtId="0" fontId="3" fillId="7" borderId="0" xfId="40" applyFill="1"/>
    <xf numFmtId="172" fontId="3" fillId="7" borderId="0" xfId="40" applyNumberFormat="1" applyFill="1" applyAlignment="1">
      <alignment horizontal="center"/>
    </xf>
    <xf numFmtId="0" fontId="3" fillId="7" borderId="0" xfId="74" applyFill="1" applyProtection="1">
      <protection locked="0"/>
    </xf>
    <xf numFmtId="174" fontId="22" fillId="7" borderId="0" xfId="45" applyNumberFormat="1" applyFont="1" applyFill="1" applyAlignment="1" applyProtection="1">
      <alignment horizontal="center"/>
      <protection locked="0"/>
    </xf>
    <xf numFmtId="0" fontId="27" fillId="7" borderId="36" xfId="45" applyFont="1" applyFill="1" applyBorder="1" applyAlignment="1">
      <alignment horizontal="center" wrapText="1"/>
    </xf>
    <xf numFmtId="14" fontId="2" fillId="7" borderId="0" xfId="74" applyNumberFormat="1" applyFont="1" applyFill="1"/>
    <xf numFmtId="167" fontId="3" fillId="7" borderId="0" xfId="74" applyNumberFormat="1" applyFill="1" applyAlignment="1">
      <alignment horizontal="center"/>
    </xf>
    <xf numFmtId="167" fontId="2" fillId="7" borderId="0" xfId="74" applyNumberFormat="1" applyFont="1" applyFill="1" applyAlignment="1">
      <alignment horizontal="center"/>
    </xf>
    <xf numFmtId="167" fontId="3" fillId="7" borderId="0" xfId="74" applyNumberFormat="1" applyFill="1" applyAlignment="1">
      <alignment horizontal="center" vertical="center"/>
    </xf>
    <xf numFmtId="0" fontId="2" fillId="7" borderId="0" xfId="74" applyFont="1" applyFill="1" applyAlignment="1">
      <alignment horizontal="center" vertical="center"/>
    </xf>
    <xf numFmtId="0" fontId="3" fillId="7" borderId="0" xfId="74" applyFill="1" applyAlignment="1">
      <alignment horizontal="center" vertical="center"/>
    </xf>
    <xf numFmtId="2" fontId="3" fillId="7" borderId="0" xfId="74" applyNumberFormat="1" applyFill="1" applyAlignment="1">
      <alignment horizontal="center" vertical="center"/>
    </xf>
    <xf numFmtId="167" fontId="3" fillId="7" borderId="0" xfId="74" applyNumberFormat="1" applyFill="1" applyAlignment="1">
      <alignment horizontal="center" vertical="center" wrapText="1"/>
    </xf>
    <xf numFmtId="0" fontId="20" fillId="7" borderId="0" xfId="74" applyFont="1" applyFill="1"/>
    <xf numFmtId="0" fontId="3" fillId="7" borderId="0" xfId="45" applyFill="1"/>
    <xf numFmtId="0" fontId="27" fillId="7" borderId="0" xfId="0" applyFont="1" applyFill="1"/>
    <xf numFmtId="0" fontId="1" fillId="7" borderId="0" xfId="0" applyFont="1" applyFill="1"/>
    <xf numFmtId="0" fontId="3" fillId="7" borderId="0" xfId="74" applyFill="1" applyAlignment="1">
      <alignment vertical="center"/>
    </xf>
    <xf numFmtId="0" fontId="2" fillId="7" borderId="0" xfId="74" applyFont="1" applyFill="1" applyAlignment="1">
      <alignment vertical="center"/>
    </xf>
    <xf numFmtId="0" fontId="3" fillId="7" borderId="0" xfId="74" applyFill="1" applyAlignment="1">
      <alignment vertical="center" wrapText="1"/>
    </xf>
    <xf numFmtId="0" fontId="2" fillId="7" borderId="0" xfId="74" applyFont="1" applyFill="1" applyAlignment="1">
      <alignment vertical="center" wrapText="1"/>
    </xf>
    <xf numFmtId="167" fontId="3" fillId="7" borderId="0" xfId="74" applyNumberFormat="1" applyFill="1" applyAlignment="1">
      <alignment horizontal="right"/>
    </xf>
    <xf numFmtId="173" fontId="3" fillId="7" borderId="0" xfId="74" applyNumberFormat="1" applyFill="1" applyAlignment="1">
      <alignment horizontal="right"/>
    </xf>
    <xf numFmtId="167" fontId="2" fillId="7" borderId="29" xfId="74" applyNumberFormat="1" applyFont="1" applyFill="1" applyBorder="1" applyAlignment="1">
      <alignment horizontal="right"/>
    </xf>
    <xf numFmtId="173" fontId="2" fillId="7" borderId="29" xfId="74" applyNumberFormat="1" applyFont="1" applyFill="1" applyBorder="1" applyAlignment="1">
      <alignment horizontal="right"/>
    </xf>
    <xf numFmtId="9" fontId="2" fillId="0" borderId="0" xfId="85" applyFont="1" applyFill="1" applyBorder="1" applyAlignment="1" applyProtection="1">
      <protection hidden="1"/>
    </xf>
    <xf numFmtId="176" fontId="3" fillId="0" borderId="0" xfId="85" applyNumberFormat="1" applyFont="1" applyFill="1" applyAlignment="1" applyProtection="1">
      <protection hidden="1"/>
    </xf>
    <xf numFmtId="167" fontId="3" fillId="0" borderId="0" xfId="1" applyFont="1" applyFill="1" applyAlignment="1" applyProtection="1">
      <protection hidden="1"/>
    </xf>
    <xf numFmtId="0" fontId="0" fillId="0" borderId="25" xfId="0" applyBorder="1"/>
    <xf numFmtId="0" fontId="0" fillId="0" borderId="10" xfId="0" applyBorder="1"/>
    <xf numFmtId="1" fontId="0" fillId="0" borderId="10" xfId="0" applyNumberFormat="1" applyBorder="1"/>
    <xf numFmtId="1" fontId="0" fillId="0" borderId="0" xfId="0" applyNumberFormat="1"/>
    <xf numFmtId="0" fontId="0" fillId="0" borderId="6" xfId="0" applyBorder="1"/>
    <xf numFmtId="1" fontId="0" fillId="0" borderId="5" xfId="0" applyNumberFormat="1" applyBorder="1"/>
    <xf numFmtId="0" fontId="0" fillId="0" borderId="1" xfId="0" applyBorder="1"/>
    <xf numFmtId="0" fontId="0" fillId="0" borderId="5" xfId="0" applyBorder="1"/>
    <xf numFmtId="1" fontId="28" fillId="0" borderId="1" xfId="0" applyNumberFormat="1" applyFont="1" applyBorder="1"/>
    <xf numFmtId="9" fontId="0" fillId="0" borderId="0" xfId="85" applyFont="1" applyBorder="1"/>
    <xf numFmtId="176" fontId="0" fillId="0" borderId="0" xfId="85" applyNumberFormat="1" applyFont="1" applyBorder="1"/>
    <xf numFmtId="10" fontId="0" fillId="0" borderId="0" xfId="85" applyNumberFormat="1" applyFont="1" applyBorder="1"/>
    <xf numFmtId="0" fontId="2" fillId="8" borderId="3" xfId="0" applyFont="1" applyFill="1" applyBorder="1" applyProtection="1">
      <protection hidden="1"/>
    </xf>
    <xf numFmtId="0" fontId="2" fillId="8" borderId="2" xfId="0" applyFont="1" applyFill="1" applyBorder="1" applyProtection="1">
      <protection hidden="1"/>
    </xf>
    <xf numFmtId="0" fontId="2" fillId="9" borderId="3" xfId="0" applyFont="1" applyFill="1" applyBorder="1" applyProtection="1">
      <protection hidden="1"/>
    </xf>
    <xf numFmtId="167" fontId="2" fillId="9" borderId="5" xfId="0" applyNumberFormat="1" applyFont="1" applyFill="1" applyBorder="1" applyAlignment="1" applyProtection="1">
      <alignment horizontal="left"/>
      <protection hidden="1"/>
    </xf>
    <xf numFmtId="0" fontId="3" fillId="9" borderId="3" xfId="0" applyFont="1" applyFill="1" applyBorder="1" applyProtection="1">
      <protection hidden="1"/>
    </xf>
    <xf numFmtId="0" fontId="3" fillId="9" borderId="2" xfId="0" applyFont="1" applyFill="1" applyBorder="1" applyProtection="1">
      <protection hidden="1"/>
    </xf>
    <xf numFmtId="0" fontId="2" fillId="9" borderId="12" xfId="40" applyFont="1" applyFill="1" applyBorder="1" applyAlignment="1" applyProtection="1">
      <alignment horizontal="left"/>
      <protection hidden="1"/>
    </xf>
    <xf numFmtId="0" fontId="2" fillId="9" borderId="3" xfId="0" applyFont="1" applyFill="1" applyBorder="1" applyAlignment="1" applyProtection="1">
      <alignment horizontal="left"/>
      <protection hidden="1"/>
    </xf>
    <xf numFmtId="168" fontId="2" fillId="9" borderId="2" xfId="0" applyNumberFormat="1" applyFont="1" applyFill="1" applyBorder="1" applyAlignment="1" applyProtection="1">
      <alignment horizontal="left"/>
      <protection hidden="1"/>
    </xf>
    <xf numFmtId="0" fontId="2" fillId="9" borderId="12" xfId="0" applyFont="1" applyFill="1" applyBorder="1" applyAlignment="1" applyProtection="1">
      <alignment horizontal="left"/>
      <protection hidden="1"/>
    </xf>
    <xf numFmtId="0" fontId="2" fillId="8" borderId="24" xfId="0" applyFont="1" applyFill="1" applyBorder="1" applyProtection="1">
      <protection hidden="1"/>
    </xf>
    <xf numFmtId="167" fontId="2" fillId="9" borderId="3" xfId="0" applyNumberFormat="1" applyFont="1" applyFill="1" applyBorder="1" applyAlignment="1" applyProtection="1">
      <alignment horizontal="left"/>
      <protection hidden="1"/>
    </xf>
    <xf numFmtId="1" fontId="0" fillId="0" borderId="1" xfId="0" applyNumberFormat="1" applyBorder="1"/>
    <xf numFmtId="0" fontId="2" fillId="0" borderId="0" xfId="0" applyFont="1"/>
    <xf numFmtId="172" fontId="2" fillId="4" borderId="18" xfId="74" applyNumberFormat="1" applyFont="1" applyFill="1" applyBorder="1" applyAlignment="1">
      <alignment horizontal="center" vertical="center"/>
    </xf>
    <xf numFmtId="0" fontId="31" fillId="8" borderId="12" xfId="0" applyFont="1" applyFill="1" applyBorder="1" applyAlignment="1" applyProtection="1">
      <alignment horizontal="left"/>
      <protection hidden="1"/>
    </xf>
    <xf numFmtId="0" fontId="31" fillId="8" borderId="3" xfId="0" applyFont="1" applyFill="1" applyBorder="1" applyAlignment="1" applyProtection="1">
      <alignment horizontal="left"/>
      <protection hidden="1"/>
    </xf>
    <xf numFmtId="0" fontId="29" fillId="8" borderId="2" xfId="0" applyFont="1" applyFill="1" applyBorder="1" applyProtection="1">
      <protection hidden="1"/>
    </xf>
    <xf numFmtId="0" fontId="29" fillId="0" borderId="0" xfId="0" applyFont="1" applyProtection="1">
      <protection hidden="1"/>
    </xf>
    <xf numFmtId="0" fontId="31" fillId="8" borderId="3" xfId="0" applyFont="1" applyFill="1" applyBorder="1" applyAlignment="1" applyProtection="1">
      <alignment vertical="center"/>
      <protection hidden="1"/>
    </xf>
    <xf numFmtId="0" fontId="2" fillId="9" borderId="3" xfId="0" applyFont="1" applyFill="1" applyBorder="1" applyAlignment="1" applyProtection="1">
      <alignment vertical="center"/>
      <protection hidden="1"/>
    </xf>
    <xf numFmtId="0" fontId="2" fillId="9" borderId="3" xfId="0" applyFont="1" applyFill="1" applyBorder="1" applyAlignment="1" applyProtection="1">
      <alignment horizontal="left" vertical="center"/>
      <protection hidden="1"/>
    </xf>
    <xf numFmtId="0" fontId="3" fillId="9" borderId="3" xfId="0" applyFont="1" applyFill="1" applyBorder="1" applyAlignment="1" applyProtection="1">
      <alignment vertical="center"/>
      <protection hidden="1"/>
    </xf>
    <xf numFmtId="0" fontId="6" fillId="0" borderId="23" xfId="0" applyFont="1" applyBorder="1" applyAlignment="1" applyProtection="1">
      <alignment horizontal="left" vertical="center"/>
      <protection hidden="1"/>
    </xf>
    <xf numFmtId="0" fontId="6" fillId="0" borderId="24" xfId="0" applyFont="1" applyBorder="1" applyAlignment="1" applyProtection="1">
      <alignment horizontal="left" vertical="center"/>
      <protection hidden="1"/>
    </xf>
    <xf numFmtId="0" fontId="7" fillId="0" borderId="24" xfId="0" applyFont="1" applyBorder="1" applyAlignment="1" applyProtection="1">
      <alignment vertical="center"/>
      <protection hidden="1"/>
    </xf>
    <xf numFmtId="0" fontId="2" fillId="0" borderId="23" xfId="0" applyFont="1" applyBorder="1" applyAlignment="1" applyProtection="1">
      <alignment horizontal="left" vertical="center"/>
      <protection hidden="1"/>
    </xf>
    <xf numFmtId="0" fontId="2" fillId="0" borderId="24" xfId="0" applyFont="1" applyBorder="1" applyAlignment="1" applyProtection="1">
      <alignment horizontal="left" vertical="center"/>
      <protection hidden="1"/>
    </xf>
    <xf numFmtId="0" fontId="3" fillId="0" borderId="18" xfId="0" applyFont="1" applyBorder="1" applyAlignment="1" applyProtection="1">
      <alignment vertical="center"/>
      <protection hidden="1"/>
    </xf>
    <xf numFmtId="0" fontId="3" fillId="9" borderId="5" xfId="0" applyFont="1" applyFill="1" applyBorder="1" applyAlignment="1" applyProtection="1">
      <alignment vertical="center"/>
      <protection hidden="1"/>
    </xf>
    <xf numFmtId="0" fontId="2" fillId="0" borderId="25" xfId="0" applyFont="1" applyBorder="1" applyAlignment="1" applyProtection="1">
      <alignment horizontal="left" vertical="center"/>
      <protection hidden="1"/>
    </xf>
    <xf numFmtId="0" fontId="2" fillId="0" borderId="0" xfId="0" applyFont="1" applyAlignment="1" applyProtection="1">
      <alignment horizontal="left" vertical="center"/>
      <protection hidden="1"/>
    </xf>
    <xf numFmtId="0" fontId="2" fillId="0" borderId="27" xfId="40" applyFont="1" applyBorder="1" applyAlignment="1" applyProtection="1">
      <alignment horizontal="left" vertical="center"/>
      <protection hidden="1"/>
    </xf>
    <xf numFmtId="0" fontId="2" fillId="0" borderId="28" xfId="40" applyFont="1" applyBorder="1" applyAlignment="1" applyProtection="1">
      <alignment horizontal="left" vertical="center"/>
      <protection hidden="1"/>
    </xf>
    <xf numFmtId="0" fontId="2" fillId="0" borderId="26" xfId="40" applyFont="1" applyBorder="1" applyAlignment="1" applyProtection="1">
      <alignment horizontal="left" vertical="center"/>
      <protection hidden="1"/>
    </xf>
    <xf numFmtId="0" fontId="2" fillId="0" borderId="29" xfId="40" applyFont="1" applyBorder="1" applyAlignment="1" applyProtection="1">
      <alignment horizontal="left" vertical="center"/>
      <protection hidden="1"/>
    </xf>
    <xf numFmtId="0" fontId="2" fillId="2" borderId="25" xfId="40" applyFont="1" applyFill="1" applyBorder="1" applyAlignment="1" applyProtection="1">
      <alignment horizontal="left" vertical="center"/>
      <protection hidden="1"/>
    </xf>
    <xf numFmtId="0" fontId="2" fillId="2" borderId="0" xfId="40" applyFont="1" applyFill="1" applyAlignment="1" applyProtection="1">
      <alignment horizontal="left" vertical="center"/>
      <protection hidden="1"/>
    </xf>
    <xf numFmtId="0" fontId="2" fillId="0" borderId="25" xfId="40" applyFont="1" applyBorder="1" applyAlignment="1" applyProtection="1">
      <alignment horizontal="left" vertical="center"/>
      <protection hidden="1"/>
    </xf>
    <xf numFmtId="0" fontId="2" fillId="0" borderId="0" xfId="40" applyFont="1" applyAlignment="1" applyProtection="1">
      <alignment horizontal="left" vertical="center"/>
      <protection hidden="1"/>
    </xf>
    <xf numFmtId="0" fontId="2" fillId="9" borderId="12" xfId="0" applyFont="1" applyFill="1" applyBorder="1" applyAlignment="1" applyProtection="1">
      <alignment horizontal="left" vertical="center"/>
      <protection hidden="1"/>
    </xf>
    <xf numFmtId="0" fontId="3" fillId="0" borderId="0" xfId="0" applyFont="1" applyAlignment="1" applyProtection="1">
      <alignment vertical="center"/>
      <protection hidden="1"/>
    </xf>
    <xf numFmtId="0" fontId="13" fillId="7" borderId="23" xfId="40" applyFont="1" applyFill="1" applyBorder="1" applyAlignment="1">
      <alignment vertical="center"/>
    </xf>
    <xf numFmtId="0" fontId="3" fillId="7" borderId="24" xfId="40" applyFill="1" applyBorder="1" applyProtection="1">
      <protection hidden="1"/>
    </xf>
    <xf numFmtId="0" fontId="14" fillId="7" borderId="25" xfId="40" applyFont="1" applyFill="1" applyBorder="1" applyAlignment="1">
      <alignment vertical="center"/>
    </xf>
    <xf numFmtId="0" fontId="3" fillId="7" borderId="0" xfId="40" applyFill="1" applyProtection="1">
      <protection hidden="1"/>
    </xf>
    <xf numFmtId="0" fontId="14" fillId="7" borderId="6" xfId="40" applyFont="1" applyFill="1" applyBorder="1" applyAlignment="1">
      <alignment vertical="center"/>
    </xf>
    <xf numFmtId="0" fontId="3" fillId="7" borderId="5" xfId="40" applyFill="1" applyBorder="1" applyProtection="1">
      <protection hidden="1"/>
    </xf>
    <xf numFmtId="2" fontId="2" fillId="8" borderId="3" xfId="0" applyNumberFormat="1" applyFont="1" applyFill="1" applyBorder="1" applyAlignment="1" applyProtection="1">
      <alignment horizontal="center" vertical="center"/>
      <protection hidden="1"/>
    </xf>
    <xf numFmtId="2" fontId="2" fillId="8" borderId="2" xfId="0" applyNumberFormat="1" applyFont="1" applyFill="1" applyBorder="1" applyAlignment="1" applyProtection="1">
      <alignment horizontal="center" vertical="center"/>
      <protection hidden="1"/>
    </xf>
    <xf numFmtId="2" fontId="7" fillId="0" borderId="24" xfId="0" applyNumberFormat="1" applyFont="1" applyBorder="1" applyAlignment="1" applyProtection="1">
      <alignment horizontal="center" vertical="center"/>
      <protection hidden="1"/>
    </xf>
    <xf numFmtId="2" fontId="3" fillId="0" borderId="24" xfId="0" applyNumberFormat="1" applyFont="1" applyBorder="1" applyAlignment="1" applyProtection="1">
      <alignment horizontal="center" vertical="center"/>
      <protection hidden="1"/>
    </xf>
    <xf numFmtId="2" fontId="3" fillId="0" borderId="11" xfId="0" applyNumberFormat="1" applyFont="1" applyBorder="1" applyAlignment="1" applyProtection="1">
      <alignment horizontal="center" vertical="center"/>
      <protection hidden="1"/>
    </xf>
    <xf numFmtId="2" fontId="2" fillId="9" borderId="3" xfId="0" applyNumberFormat="1" applyFont="1" applyFill="1" applyBorder="1" applyAlignment="1" applyProtection="1">
      <alignment horizontal="center" vertical="center"/>
      <protection hidden="1"/>
    </xf>
    <xf numFmtId="2" fontId="3" fillId="9" borderId="3" xfId="0" applyNumberFormat="1" applyFont="1" applyFill="1" applyBorder="1" applyAlignment="1" applyProtection="1">
      <alignment horizontal="center" vertical="center"/>
      <protection hidden="1"/>
    </xf>
    <xf numFmtId="2" fontId="3" fillId="9" borderId="2" xfId="0" applyNumberFormat="1" applyFont="1" applyFill="1" applyBorder="1" applyAlignment="1" applyProtection="1">
      <alignment horizontal="center" vertical="center"/>
      <protection hidden="1"/>
    </xf>
    <xf numFmtId="2" fontId="2" fillId="0" borderId="24" xfId="0" applyNumberFormat="1" applyFont="1" applyBorder="1" applyAlignment="1" applyProtection="1">
      <alignment horizontal="center" vertical="center"/>
      <protection hidden="1"/>
    </xf>
    <xf numFmtId="2" fontId="4" fillId="0" borderId="24" xfId="0" applyNumberFormat="1" applyFont="1" applyBorder="1" applyAlignment="1" applyProtection="1">
      <alignment horizontal="center" vertical="center"/>
      <protection hidden="1"/>
    </xf>
    <xf numFmtId="2" fontId="2" fillId="2" borderId="4" xfId="0" applyNumberFormat="1" applyFont="1" applyFill="1" applyBorder="1" applyAlignment="1" applyProtection="1">
      <alignment horizontal="center" vertical="center"/>
      <protection hidden="1"/>
    </xf>
    <xf numFmtId="2" fontId="31" fillId="8" borderId="3" xfId="0" applyNumberFormat="1" applyFont="1" applyFill="1" applyBorder="1" applyAlignment="1" applyProtection="1">
      <alignment horizontal="center" vertical="center"/>
      <protection hidden="1"/>
    </xf>
    <xf numFmtId="2" fontId="3" fillId="7" borderId="24" xfId="40" applyNumberFormat="1" applyFill="1" applyBorder="1" applyAlignment="1" applyProtection="1">
      <alignment horizontal="center"/>
      <protection hidden="1"/>
    </xf>
    <xf numFmtId="2" fontId="3" fillId="7" borderId="11" xfId="40" applyNumberFormat="1" applyFill="1" applyBorder="1" applyAlignment="1">
      <alignment horizontal="center"/>
    </xf>
    <xf numFmtId="2" fontId="3" fillId="7" borderId="0" xfId="40" applyNumberFormat="1" applyFill="1" applyAlignment="1" applyProtection="1">
      <alignment horizontal="center"/>
      <protection hidden="1"/>
    </xf>
    <xf numFmtId="2" fontId="3" fillId="7" borderId="10" xfId="40" applyNumberFormat="1" applyFill="1" applyBorder="1" applyAlignment="1">
      <alignment horizontal="center"/>
    </xf>
    <xf numFmtId="2" fontId="3" fillId="7" borderId="5" xfId="40" applyNumberFormat="1" applyFill="1" applyBorder="1" applyAlignment="1" applyProtection="1">
      <alignment horizontal="center"/>
      <protection hidden="1"/>
    </xf>
    <xf numFmtId="2" fontId="3" fillId="7" borderId="1" xfId="40" applyNumberFormat="1" applyFill="1" applyBorder="1" applyAlignment="1">
      <alignment horizontal="center"/>
    </xf>
    <xf numFmtId="2" fontId="2" fillId="7" borderId="10" xfId="0" applyNumberFormat="1" applyFont="1" applyFill="1" applyBorder="1" applyAlignment="1" applyProtection="1">
      <alignment horizontal="center"/>
      <protection hidden="1"/>
    </xf>
    <xf numFmtId="2" fontId="2" fillId="7" borderId="1" xfId="0" applyNumberFormat="1" applyFont="1" applyFill="1" applyBorder="1" applyAlignment="1" applyProtection="1">
      <alignment horizontal="center"/>
      <protection hidden="1"/>
    </xf>
    <xf numFmtId="2" fontId="3" fillId="0" borderId="0" xfId="0" applyNumberFormat="1" applyFont="1" applyAlignment="1" applyProtection="1">
      <alignment horizontal="center"/>
      <protection hidden="1"/>
    </xf>
    <xf numFmtId="0" fontId="4" fillId="2" borderId="4" xfId="74" applyFont="1" applyFill="1" applyBorder="1" applyAlignment="1">
      <alignment horizontal="center" vertical="center"/>
    </xf>
    <xf numFmtId="0" fontId="4" fillId="2" borderId="3" xfId="74" applyFont="1" applyFill="1" applyBorder="1" applyAlignment="1">
      <alignment horizontal="center" vertical="center"/>
    </xf>
    <xf numFmtId="174" fontId="4" fillId="2" borderId="4" xfId="74" applyNumberFormat="1" applyFont="1" applyFill="1" applyBorder="1" applyAlignment="1">
      <alignment horizontal="center" vertical="center"/>
    </xf>
    <xf numFmtId="174" fontId="4" fillId="0" borderId="13" xfId="74" applyNumberFormat="1" applyFont="1" applyBorder="1" applyAlignment="1">
      <alignment horizontal="center" vertical="center"/>
    </xf>
    <xf numFmtId="0" fontId="4" fillId="0" borderId="13" xfId="74" applyFont="1" applyBorder="1" applyAlignment="1">
      <alignment horizontal="center" vertical="center"/>
    </xf>
    <xf numFmtId="167" fontId="4" fillId="7" borderId="0" xfId="74" applyNumberFormat="1" applyFont="1" applyFill="1" applyAlignment="1" applyProtection="1">
      <alignment horizontal="right"/>
      <protection locked="0"/>
    </xf>
    <xf numFmtId="172" fontId="4" fillId="0" borderId="12" xfId="74" applyNumberFormat="1" applyFont="1" applyBorder="1" applyAlignment="1">
      <alignment horizontal="center" vertical="center"/>
    </xf>
    <xf numFmtId="170" fontId="4" fillId="2" borderId="4" xfId="74" applyNumberFormat="1" applyFont="1" applyFill="1" applyBorder="1" applyAlignment="1">
      <alignment horizontal="center" vertical="center"/>
    </xf>
    <xf numFmtId="170" fontId="4" fillId="0" borderId="13" xfId="74" applyNumberFormat="1" applyFont="1" applyBorder="1" applyAlignment="1">
      <alignment horizontal="center" vertical="center"/>
    </xf>
    <xf numFmtId="173" fontId="4" fillId="0" borderId="13" xfId="74" applyNumberFormat="1" applyFont="1" applyBorder="1" applyAlignment="1">
      <alignment horizontal="center" vertical="center"/>
    </xf>
    <xf numFmtId="167" fontId="4" fillId="0" borderId="13" xfId="74" applyNumberFormat="1" applyFont="1" applyBorder="1" applyAlignment="1">
      <alignment horizontal="center" vertical="center"/>
    </xf>
    <xf numFmtId="2" fontId="4" fillId="0" borderId="12" xfId="74" applyNumberFormat="1" applyFont="1" applyBorder="1" applyAlignment="1">
      <alignment horizontal="center" vertical="center"/>
    </xf>
    <xf numFmtId="2" fontId="2" fillId="0" borderId="18" xfId="0" applyNumberFormat="1" applyFont="1" applyBorder="1" applyAlignment="1" applyProtection="1">
      <alignment horizontal="center" vertical="center"/>
      <protection hidden="1"/>
    </xf>
    <xf numFmtId="0" fontId="0" fillId="0" borderId="18" xfId="0" applyBorder="1"/>
    <xf numFmtId="2" fontId="0" fillId="0" borderId="18" xfId="0" applyNumberFormat="1" applyBorder="1"/>
    <xf numFmtId="0" fontId="32" fillId="0" borderId="18" xfId="0" applyFont="1" applyBorder="1"/>
    <xf numFmtId="2" fontId="32" fillId="0" borderId="18" xfId="0" applyNumberFormat="1" applyFont="1" applyBorder="1"/>
    <xf numFmtId="0" fontId="3" fillId="0" borderId="18" xfId="0" applyFont="1" applyBorder="1"/>
    <xf numFmtId="0" fontId="14" fillId="0" borderId="18" xfId="0" applyFont="1" applyBorder="1"/>
    <xf numFmtId="0" fontId="3" fillId="0" borderId="0" xfId="0" applyFont="1" applyAlignment="1">
      <alignment horizontal="center" wrapText="1"/>
    </xf>
    <xf numFmtId="0" fontId="2" fillId="9" borderId="5" xfId="0" applyFont="1" applyFill="1" applyBorder="1" applyAlignment="1" applyProtection="1">
      <alignment vertical="center"/>
      <protection hidden="1"/>
    </xf>
    <xf numFmtId="0" fontId="2" fillId="0" borderId="18" xfId="0" applyFont="1" applyBorder="1" applyAlignment="1" applyProtection="1">
      <alignment vertical="center"/>
      <protection hidden="1"/>
    </xf>
    <xf numFmtId="0" fontId="2" fillId="2" borderId="2" xfId="0" applyFont="1" applyFill="1" applyBorder="1" applyProtection="1">
      <protection hidden="1"/>
    </xf>
    <xf numFmtId="2" fontId="14" fillId="0" borderId="18" xfId="0" applyNumberFormat="1" applyFont="1" applyBorder="1"/>
    <xf numFmtId="180" fontId="2" fillId="0" borderId="7" xfId="81" applyNumberFormat="1" applyFont="1" applyBorder="1" applyAlignment="1" applyProtection="1">
      <alignment horizontal="center" vertical="center"/>
      <protection hidden="1"/>
    </xf>
    <xf numFmtId="180" fontId="2" fillId="0" borderId="8" xfId="81" applyNumberFormat="1" applyFont="1" applyBorder="1" applyAlignment="1" applyProtection="1">
      <alignment horizontal="center" vertical="center"/>
      <protection hidden="1"/>
    </xf>
    <xf numFmtId="180" fontId="2" fillId="0" borderId="44" xfId="81" applyNumberFormat="1" applyFont="1" applyBorder="1" applyAlignment="1" applyProtection="1">
      <alignment horizontal="center" vertical="center"/>
      <protection hidden="1"/>
    </xf>
    <xf numFmtId="180" fontId="2" fillId="9" borderId="18" xfId="0" applyNumberFormat="1" applyFont="1" applyFill="1" applyBorder="1" applyAlignment="1" applyProtection="1">
      <alignment horizontal="center" vertical="center"/>
      <protection hidden="1"/>
    </xf>
    <xf numFmtId="180" fontId="2" fillId="2" borderId="18" xfId="0" applyNumberFormat="1" applyFont="1" applyFill="1" applyBorder="1" applyAlignment="1" applyProtection="1">
      <alignment horizontal="center" vertical="center"/>
      <protection hidden="1"/>
    </xf>
    <xf numFmtId="180" fontId="2" fillId="0" borderId="30" xfId="0" applyNumberFormat="1" applyFont="1" applyBorder="1" applyAlignment="1" applyProtection="1">
      <alignment horizontal="center" vertical="center"/>
      <protection hidden="1"/>
    </xf>
    <xf numFmtId="180" fontId="2" fillId="9" borderId="47" xfId="0" applyNumberFormat="1" applyFont="1" applyFill="1" applyBorder="1" applyAlignment="1" applyProtection="1">
      <alignment horizontal="center" vertical="center"/>
      <protection hidden="1"/>
    </xf>
    <xf numFmtId="180" fontId="2" fillId="0" borderId="49" xfId="0" applyNumberFormat="1" applyFont="1" applyBorder="1" applyAlignment="1" applyProtection="1">
      <alignment horizontal="center" vertical="center"/>
      <protection hidden="1"/>
    </xf>
    <xf numFmtId="180" fontId="2" fillId="9" borderId="46" xfId="0" applyNumberFormat="1" applyFont="1" applyFill="1" applyBorder="1" applyAlignment="1" applyProtection="1">
      <alignment horizontal="center" vertical="center"/>
      <protection hidden="1"/>
    </xf>
    <xf numFmtId="180" fontId="2" fillId="9" borderId="48" xfId="0" applyNumberFormat="1" applyFont="1" applyFill="1" applyBorder="1" applyAlignment="1" applyProtection="1">
      <alignment horizontal="center" vertical="center"/>
      <protection hidden="1"/>
    </xf>
    <xf numFmtId="180" fontId="2" fillId="0" borderId="45" xfId="0" applyNumberFormat="1" applyFont="1" applyBorder="1" applyAlignment="1" applyProtection="1">
      <alignment horizontal="center" vertical="center"/>
      <protection hidden="1"/>
    </xf>
    <xf numFmtId="180" fontId="31" fillId="8" borderId="18" xfId="0" applyNumberFormat="1" applyFont="1" applyFill="1" applyBorder="1" applyAlignment="1" applyProtection="1">
      <alignment horizontal="center" vertical="center"/>
      <protection hidden="1"/>
    </xf>
    <xf numFmtId="180" fontId="3" fillId="0" borderId="0" xfId="0" applyNumberFormat="1" applyFont="1" applyAlignment="1" applyProtection="1">
      <alignment horizontal="center" vertical="center"/>
      <protection hidden="1"/>
    </xf>
    <xf numFmtId="179" fontId="2" fillId="9" borderId="3" xfId="0" applyNumberFormat="1" applyFont="1" applyFill="1" applyBorder="1" applyAlignment="1" applyProtection="1">
      <alignment horizontal="center" vertical="center"/>
      <protection hidden="1"/>
    </xf>
    <xf numFmtId="179" fontId="2" fillId="9" borderId="5" xfId="0" applyNumberFormat="1" applyFont="1" applyFill="1" applyBorder="1" applyAlignment="1" applyProtection="1">
      <alignment horizontal="center" vertical="center"/>
      <protection hidden="1"/>
    </xf>
    <xf numFmtId="179" fontId="18" fillId="2" borderId="38" xfId="0" applyNumberFormat="1" applyFont="1" applyFill="1" applyBorder="1" applyAlignment="1">
      <alignment horizontal="center" vertical="center"/>
    </xf>
    <xf numFmtId="179" fontId="18" fillId="2" borderId="28" xfId="0" applyNumberFormat="1" applyFont="1" applyFill="1" applyBorder="1" applyAlignment="1">
      <alignment horizontal="center" vertical="center"/>
    </xf>
    <xf numFmtId="179" fontId="18" fillId="2" borderId="40" xfId="0" applyNumberFormat="1" applyFont="1" applyFill="1" applyBorder="1" applyAlignment="1">
      <alignment horizontal="center" vertical="center"/>
    </xf>
    <xf numFmtId="179" fontId="18" fillId="2" borderId="9" xfId="0" applyNumberFormat="1" applyFont="1" applyFill="1" applyBorder="1" applyAlignment="1">
      <alignment horizontal="center" vertical="center"/>
    </xf>
    <xf numFmtId="179" fontId="18" fillId="2" borderId="0" xfId="0" applyNumberFormat="1" applyFont="1" applyFill="1" applyAlignment="1">
      <alignment horizontal="center" vertical="center"/>
    </xf>
    <xf numFmtId="179" fontId="18" fillId="2" borderId="10" xfId="0" applyNumberFormat="1" applyFont="1" applyFill="1" applyBorder="1" applyAlignment="1">
      <alignment horizontal="center" vertical="center"/>
    </xf>
    <xf numFmtId="179" fontId="2" fillId="9" borderId="4" xfId="0" applyNumberFormat="1" applyFont="1" applyFill="1" applyBorder="1" applyAlignment="1" applyProtection="1">
      <alignment horizontal="right"/>
      <protection hidden="1"/>
    </xf>
    <xf numFmtId="179" fontId="2" fillId="2" borderId="4" xfId="0" applyNumberFormat="1" applyFont="1" applyFill="1" applyBorder="1" applyAlignment="1" applyProtection="1">
      <alignment horizontal="right"/>
      <protection hidden="1"/>
    </xf>
    <xf numFmtId="179" fontId="3" fillId="8" borderId="4" xfId="0" applyNumberFormat="1" applyFont="1" applyFill="1" applyBorder="1" applyProtection="1">
      <protection hidden="1"/>
    </xf>
    <xf numFmtId="179" fontId="2" fillId="0" borderId="7" xfId="81" applyNumberFormat="1" applyFont="1" applyBorder="1" applyProtection="1">
      <protection hidden="1"/>
    </xf>
    <xf numFmtId="179" fontId="2" fillId="0" borderId="38" xfId="81" applyNumberFormat="1" applyFont="1" applyBorder="1" applyProtection="1">
      <protection hidden="1"/>
    </xf>
    <xf numFmtId="179" fontId="2" fillId="0" borderId="8" xfId="81" applyNumberFormat="1" applyFont="1" applyBorder="1" applyProtection="1">
      <protection hidden="1"/>
    </xf>
    <xf numFmtId="179" fontId="2" fillId="0" borderId="39" xfId="81" applyNumberFormat="1" applyFont="1" applyBorder="1" applyProtection="1">
      <protection hidden="1"/>
    </xf>
    <xf numFmtId="179" fontId="2" fillId="9" borderId="4" xfId="0" applyNumberFormat="1" applyFont="1" applyFill="1" applyBorder="1" applyAlignment="1" applyProtection="1">
      <alignment vertical="center"/>
      <protection hidden="1"/>
    </xf>
    <xf numFmtId="179" fontId="2" fillId="2" borderId="9" xfId="0" applyNumberFormat="1" applyFont="1" applyFill="1" applyBorder="1" applyProtection="1">
      <protection hidden="1"/>
    </xf>
    <xf numFmtId="179" fontId="2" fillId="9" borderId="4" xfId="81" applyNumberFormat="1" applyFont="1" applyFill="1" applyBorder="1" applyProtection="1">
      <protection hidden="1"/>
    </xf>
    <xf numFmtId="179" fontId="2" fillId="9" borderId="4" xfId="40" applyNumberFormat="1" applyFont="1" applyFill="1" applyBorder="1" applyProtection="1">
      <protection hidden="1"/>
    </xf>
    <xf numFmtId="179" fontId="2" fillId="9" borderId="4" xfId="0" applyNumberFormat="1" applyFont="1" applyFill="1" applyBorder="1" applyProtection="1">
      <protection hidden="1"/>
    </xf>
    <xf numFmtId="179" fontId="2" fillId="0" borderId="9" xfId="0" applyNumberFormat="1" applyFont="1" applyBorder="1" applyProtection="1">
      <protection hidden="1"/>
    </xf>
    <xf numFmtId="179" fontId="31" fillId="8" borderId="4" xfId="0" applyNumberFormat="1" applyFont="1" applyFill="1" applyBorder="1" applyProtection="1">
      <protection hidden="1"/>
    </xf>
    <xf numFmtId="179" fontId="29" fillId="0" borderId="0" xfId="0" applyNumberFormat="1" applyFont="1" applyProtection="1">
      <protection hidden="1"/>
    </xf>
    <xf numFmtId="179" fontId="18" fillId="2" borderId="38" xfId="0" applyNumberFormat="1" applyFont="1" applyFill="1" applyBorder="1"/>
    <xf numFmtId="179" fontId="18" fillId="2" borderId="28" xfId="0" applyNumberFormat="1" applyFont="1" applyFill="1" applyBorder="1"/>
    <xf numFmtId="179" fontId="18" fillId="2" borderId="40" xfId="0" applyNumberFormat="1" applyFont="1" applyFill="1" applyBorder="1"/>
    <xf numFmtId="179" fontId="18" fillId="2" borderId="37" xfId="0" applyNumberFormat="1" applyFont="1" applyFill="1" applyBorder="1"/>
    <xf numFmtId="179" fontId="18" fillId="2" borderId="5" xfId="0" applyNumberFormat="1" applyFont="1" applyFill="1" applyBorder="1"/>
    <xf numFmtId="179" fontId="18" fillId="2" borderId="1" xfId="0" applyNumberFormat="1" applyFont="1" applyFill="1" applyBorder="1"/>
    <xf numFmtId="179" fontId="2" fillId="2" borderId="4" xfId="0" applyNumberFormat="1" applyFont="1" applyFill="1" applyBorder="1" applyProtection="1">
      <protection hidden="1"/>
    </xf>
    <xf numFmtId="179" fontId="2" fillId="2" borderId="2" xfId="0" applyNumberFormat="1" applyFont="1" applyFill="1" applyBorder="1" applyProtection="1">
      <protection hidden="1"/>
    </xf>
    <xf numFmtId="179" fontId="3" fillId="8" borderId="13" xfId="0" applyNumberFormat="1" applyFont="1" applyFill="1" applyBorder="1" applyProtection="1">
      <protection hidden="1"/>
    </xf>
    <xf numFmtId="179" fontId="2" fillId="0" borderId="13" xfId="81" applyNumberFormat="1" applyFont="1" applyBorder="1" applyProtection="1">
      <protection hidden="1"/>
    </xf>
    <xf numFmtId="179" fontId="2" fillId="0" borderId="9" xfId="81" applyNumberFormat="1" applyFont="1" applyBorder="1" applyProtection="1">
      <protection hidden="1"/>
    </xf>
    <xf numFmtId="179" fontId="2" fillId="0" borderId="37" xfId="81" applyNumberFormat="1" applyFont="1" applyBorder="1" applyProtection="1">
      <protection hidden="1"/>
    </xf>
    <xf numFmtId="179" fontId="2" fillId="9" borderId="37" xfId="0" applyNumberFormat="1" applyFont="1" applyFill="1" applyBorder="1" applyProtection="1">
      <protection hidden="1"/>
    </xf>
    <xf numFmtId="179" fontId="2" fillId="9" borderId="1" xfId="0" applyNumberFormat="1" applyFont="1" applyFill="1" applyBorder="1" applyProtection="1">
      <protection hidden="1"/>
    </xf>
    <xf numFmtId="179" fontId="2" fillId="2" borderId="10" xfId="0" applyNumberFormat="1" applyFont="1" applyFill="1" applyBorder="1" applyProtection="1">
      <protection hidden="1"/>
    </xf>
    <xf numFmtId="179" fontId="2" fillId="0" borderId="10" xfId="0" applyNumberFormat="1" applyFont="1" applyBorder="1" applyProtection="1">
      <protection hidden="1"/>
    </xf>
    <xf numFmtId="0" fontId="34" fillId="2" borderId="18" xfId="0" applyFont="1" applyFill="1" applyBorder="1"/>
    <xf numFmtId="0" fontId="36" fillId="2" borderId="18" xfId="0" applyFont="1" applyFill="1" applyBorder="1"/>
    <xf numFmtId="0" fontId="34" fillId="8" borderId="18" xfId="0" applyFont="1" applyFill="1" applyBorder="1"/>
    <xf numFmtId="0" fontId="37" fillId="8" borderId="18" xfId="0" applyFont="1" applyFill="1" applyBorder="1"/>
    <xf numFmtId="0" fontId="37" fillId="8" borderId="18" xfId="0" applyFont="1" applyFill="1" applyBorder="1" applyAlignment="1">
      <alignment horizontal="center" wrapText="1"/>
    </xf>
    <xf numFmtId="167" fontId="38" fillId="9" borderId="18" xfId="21" applyFont="1" applyFill="1" applyBorder="1" applyAlignment="1"/>
    <xf numFmtId="178" fontId="34" fillId="9" borderId="18" xfId="0" applyNumberFormat="1" applyFont="1" applyFill="1" applyBorder="1" applyAlignment="1">
      <alignment horizontal="center"/>
    </xf>
    <xf numFmtId="0" fontId="34" fillId="9" borderId="18" xfId="0" applyFont="1" applyFill="1" applyBorder="1"/>
    <xf numFmtId="179" fontId="38" fillId="2" borderId="18" xfId="21" applyNumberFormat="1" applyFont="1" applyFill="1" applyBorder="1" applyAlignment="1">
      <alignment horizontal="center" vertical="center" wrapText="1"/>
    </xf>
    <xf numFmtId="167" fontId="38" fillId="2" borderId="18" xfId="21" applyFont="1" applyFill="1" applyBorder="1" applyAlignment="1">
      <alignment horizontal="center" vertical="center" wrapText="1"/>
    </xf>
    <xf numFmtId="167" fontId="38" fillId="9" borderId="18" xfId="21" applyFont="1" applyFill="1" applyBorder="1" applyAlignment="1">
      <alignment horizontal="center" vertical="center" wrapText="1"/>
    </xf>
    <xf numFmtId="177" fontId="38" fillId="9" borderId="18" xfId="21" applyNumberFormat="1" applyFont="1" applyFill="1" applyBorder="1" applyAlignment="1"/>
    <xf numFmtId="177" fontId="38" fillId="2" borderId="18" xfId="21" applyNumberFormat="1" applyFont="1" applyFill="1" applyBorder="1" applyAlignment="1"/>
    <xf numFmtId="175" fontId="38" fillId="2" borderId="18" xfId="21" applyNumberFormat="1" applyFont="1" applyFill="1" applyBorder="1" applyAlignment="1"/>
    <xf numFmtId="179" fontId="38" fillId="9" borderId="18" xfId="1" applyNumberFormat="1" applyFont="1" applyFill="1" applyBorder="1" applyAlignment="1"/>
    <xf numFmtId="167" fontId="38" fillId="2" borderId="18" xfId="21" applyFont="1" applyFill="1" applyBorder="1" applyAlignment="1"/>
    <xf numFmtId="44" fontId="38" fillId="2" borderId="18" xfId="1" applyNumberFormat="1" applyFont="1" applyFill="1" applyBorder="1" applyAlignment="1"/>
    <xf numFmtId="179" fontId="34" fillId="2" borderId="18" xfId="1" applyNumberFormat="1" applyFont="1" applyFill="1" applyBorder="1"/>
    <xf numFmtId="179" fontId="38" fillId="9" borderId="18" xfId="21" applyNumberFormat="1" applyFont="1" applyFill="1" applyBorder="1" applyAlignment="1">
      <alignment horizontal="center" vertical="center" wrapText="1"/>
    </xf>
    <xf numFmtId="179" fontId="38" fillId="9" borderId="18" xfId="21" applyNumberFormat="1" applyFont="1" applyFill="1" applyBorder="1" applyAlignment="1"/>
    <xf numFmtId="179" fontId="38" fillId="2" borderId="18" xfId="21" applyNumberFormat="1" applyFont="1" applyFill="1" applyBorder="1" applyAlignment="1"/>
    <xf numFmtId="179" fontId="38" fillId="2" borderId="18" xfId="1" applyNumberFormat="1" applyFont="1" applyFill="1" applyBorder="1" applyAlignment="1"/>
    <xf numFmtId="179" fontId="34" fillId="2" borderId="18" xfId="0" applyNumberFormat="1" applyFont="1" applyFill="1" applyBorder="1"/>
    <xf numFmtId="0" fontId="34" fillId="2" borderId="30" xfId="0" applyFont="1" applyFill="1" applyBorder="1"/>
    <xf numFmtId="174" fontId="34" fillId="2" borderId="30" xfId="0" applyNumberFormat="1" applyFont="1" applyFill="1" applyBorder="1"/>
    <xf numFmtId="0" fontId="34" fillId="5" borderId="23" xfId="0" applyFont="1" applyFill="1" applyBorder="1"/>
    <xf numFmtId="0" fontId="34" fillId="5" borderId="3" xfId="0" applyFont="1" applyFill="1" applyBorder="1" applyAlignment="1">
      <alignment horizontal="center" wrapText="1"/>
    </xf>
    <xf numFmtId="0" fontId="34" fillId="5" borderId="2" xfId="0" applyFont="1" applyFill="1" applyBorder="1" applyAlignment="1">
      <alignment horizontal="center" wrapText="1"/>
    </xf>
    <xf numFmtId="167" fontId="39" fillId="5" borderId="25" xfId="21" applyFont="1" applyFill="1" applyBorder="1" applyAlignment="1">
      <alignment horizontal="left"/>
    </xf>
    <xf numFmtId="175" fontId="36" fillId="5" borderId="0" xfId="0" applyNumberFormat="1" applyFont="1" applyFill="1"/>
    <xf numFmtId="175" fontId="36" fillId="5" borderId="10" xfId="0" applyNumberFormat="1" applyFont="1" applyFill="1" applyBorder="1"/>
    <xf numFmtId="0" fontId="36" fillId="5" borderId="25" xfId="0" applyFont="1" applyFill="1" applyBorder="1"/>
    <xf numFmtId="167" fontId="36" fillId="5" borderId="0" xfId="0" applyNumberFormat="1" applyFont="1" applyFill="1"/>
    <xf numFmtId="167" fontId="36" fillId="5" borderId="10" xfId="0" applyNumberFormat="1" applyFont="1" applyFill="1" applyBorder="1"/>
    <xf numFmtId="167" fontId="38" fillId="6" borderId="25" xfId="21" applyFont="1" applyFill="1" applyBorder="1" applyAlignment="1"/>
    <xf numFmtId="167" fontId="36" fillId="6" borderId="0" xfId="0" applyNumberFormat="1" applyFont="1" applyFill="1"/>
    <xf numFmtId="167" fontId="36" fillId="6" borderId="10" xfId="0" applyNumberFormat="1" applyFont="1" applyFill="1" applyBorder="1"/>
    <xf numFmtId="0" fontId="36" fillId="5" borderId="25" xfId="40" applyFont="1" applyFill="1" applyBorder="1"/>
    <xf numFmtId="175" fontId="36" fillId="5" borderId="0" xfId="40" applyNumberFormat="1" applyFont="1" applyFill="1"/>
    <xf numFmtId="175" fontId="36" fillId="5" borderId="10" xfId="40" applyNumberFormat="1" applyFont="1" applyFill="1" applyBorder="1"/>
    <xf numFmtId="0" fontId="38" fillId="6" borderId="25" xfId="40" applyFont="1" applyFill="1" applyBorder="1"/>
    <xf numFmtId="175" fontId="36" fillId="6" borderId="0" xfId="0" applyNumberFormat="1" applyFont="1" applyFill="1"/>
    <xf numFmtId="175" fontId="36" fillId="6" borderId="10" xfId="0" applyNumberFormat="1" applyFont="1" applyFill="1" applyBorder="1"/>
    <xf numFmtId="2" fontId="36" fillId="5" borderId="35" xfId="0" applyNumberFormat="1" applyFont="1" applyFill="1" applyBorder="1"/>
    <xf numFmtId="2" fontId="36" fillId="5" borderId="51" xfId="0" applyNumberFormat="1" applyFont="1" applyFill="1" applyBorder="1"/>
    <xf numFmtId="179" fontId="36" fillId="5" borderId="32" xfId="0" applyNumberFormat="1" applyFont="1" applyFill="1" applyBorder="1" applyAlignment="1">
      <alignment horizontal="center"/>
    </xf>
    <xf numFmtId="2" fontId="36" fillId="5" borderId="52" xfId="0" applyNumberFormat="1" applyFont="1" applyFill="1" applyBorder="1"/>
    <xf numFmtId="0" fontId="36" fillId="5" borderId="6" xfId="0" applyFont="1" applyFill="1" applyBorder="1"/>
    <xf numFmtId="179" fontId="36" fillId="5" borderId="53" xfId="0" applyNumberFormat="1" applyFont="1" applyFill="1" applyBorder="1"/>
    <xf numFmtId="2" fontId="36" fillId="5" borderId="54" xfId="0" applyNumberFormat="1" applyFont="1" applyFill="1" applyBorder="1"/>
    <xf numFmtId="179" fontId="34" fillId="2" borderId="38" xfId="0" applyNumberFormat="1" applyFont="1" applyFill="1" applyBorder="1"/>
    <xf numFmtId="179" fontId="34" fillId="2" borderId="37" xfId="0" applyNumberFormat="1" applyFont="1" applyFill="1" applyBorder="1"/>
    <xf numFmtId="0" fontId="38" fillId="2" borderId="23" xfId="40" applyFont="1" applyFill="1" applyBorder="1" applyAlignment="1">
      <alignment vertical="center"/>
    </xf>
    <xf numFmtId="0" fontId="39" fillId="2" borderId="25" xfId="40" applyFont="1" applyFill="1" applyBorder="1" applyAlignment="1">
      <alignment vertical="center"/>
    </xf>
    <xf numFmtId="0" fontId="39" fillId="2" borderId="6" xfId="40" applyFont="1" applyFill="1" applyBorder="1" applyAlignment="1">
      <alignment vertical="center"/>
    </xf>
    <xf numFmtId="0" fontId="39" fillId="0" borderId="0" xfId="0" applyFont="1" applyProtection="1">
      <protection hidden="1"/>
    </xf>
    <xf numFmtId="0" fontId="38" fillId="0" borderId="6" xfId="0" applyFont="1" applyBorder="1" applyAlignment="1" applyProtection="1">
      <alignment horizontal="left"/>
      <protection hidden="1"/>
    </xf>
    <xf numFmtId="0" fontId="38" fillId="0" borderId="5" xfId="0" applyFont="1" applyBorder="1" applyAlignment="1" applyProtection="1">
      <alignment horizontal="left"/>
      <protection hidden="1"/>
    </xf>
    <xf numFmtId="0" fontId="39" fillId="0" borderId="5" xfId="0" applyFont="1" applyBorder="1" applyProtection="1">
      <protection hidden="1"/>
    </xf>
    <xf numFmtId="0" fontId="38" fillId="9" borderId="3" xfId="0" applyFont="1" applyFill="1" applyBorder="1" applyProtection="1">
      <protection hidden="1"/>
    </xf>
    <xf numFmtId="167" fontId="38" fillId="9" borderId="3" xfId="0" applyNumberFormat="1" applyFont="1" applyFill="1" applyBorder="1" applyAlignment="1" applyProtection="1">
      <alignment horizontal="left"/>
      <protection hidden="1"/>
    </xf>
    <xf numFmtId="0" fontId="39" fillId="9" borderId="3" xfId="0" applyFont="1" applyFill="1" applyBorder="1" applyProtection="1">
      <protection hidden="1"/>
    </xf>
    <xf numFmtId="0" fontId="38" fillId="0" borderId="12" xfId="40" applyFont="1" applyBorder="1" applyAlignment="1" applyProtection="1">
      <alignment horizontal="left"/>
      <protection hidden="1"/>
    </xf>
    <xf numFmtId="0" fontId="38" fillId="0" borderId="3" xfId="40" applyFont="1" applyBorder="1" applyAlignment="1" applyProtection="1">
      <alignment horizontal="left"/>
      <protection hidden="1"/>
    </xf>
    <xf numFmtId="0" fontId="38" fillId="0" borderId="3" xfId="0" applyFont="1" applyBorder="1" applyAlignment="1" applyProtection="1">
      <alignment horizontal="centerContinuous"/>
      <protection hidden="1"/>
    </xf>
    <xf numFmtId="0" fontId="39" fillId="0" borderId="3" xfId="0" applyFont="1" applyBorder="1" applyAlignment="1" applyProtection="1">
      <alignment horizontal="centerContinuous"/>
      <protection hidden="1"/>
    </xf>
    <xf numFmtId="0" fontId="41" fillId="0" borderId="3" xfId="0" applyFont="1" applyBorder="1" applyProtection="1">
      <protection hidden="1"/>
    </xf>
    <xf numFmtId="0" fontId="38" fillId="0" borderId="3" xfId="0" applyFont="1" applyBorder="1" applyAlignment="1" applyProtection="1">
      <alignment horizontal="left"/>
      <protection hidden="1"/>
    </xf>
    <xf numFmtId="167" fontId="38" fillId="2" borderId="4" xfId="81" applyNumberFormat="1" applyFont="1" applyFill="1" applyBorder="1" applyProtection="1">
      <protection hidden="1"/>
    </xf>
    <xf numFmtId="167" fontId="38" fillId="2" borderId="4" xfId="0" applyNumberFormat="1" applyFont="1" applyFill="1" applyBorder="1" applyProtection="1">
      <protection hidden="1"/>
    </xf>
    <xf numFmtId="0" fontId="38" fillId="9" borderId="12" xfId="40" applyFont="1" applyFill="1" applyBorder="1" applyAlignment="1" applyProtection="1">
      <alignment horizontal="left"/>
      <protection hidden="1"/>
    </xf>
    <xf numFmtId="0" fontId="38" fillId="9" borderId="3" xfId="40" applyFont="1" applyFill="1" applyBorder="1" applyAlignment="1" applyProtection="1">
      <alignment horizontal="left"/>
      <protection hidden="1"/>
    </xf>
    <xf numFmtId="168" fontId="38" fillId="9" borderId="2" xfId="40" applyNumberFormat="1" applyFont="1" applyFill="1" applyBorder="1" applyAlignment="1" applyProtection="1">
      <alignment horizontal="left"/>
      <protection hidden="1"/>
    </xf>
    <xf numFmtId="179" fontId="38" fillId="9" borderId="4" xfId="0" applyNumberFormat="1" applyFont="1" applyFill="1" applyBorder="1" applyAlignment="1" applyProtection="1">
      <alignment horizontal="right"/>
      <protection hidden="1"/>
    </xf>
    <xf numFmtId="0" fontId="38" fillId="0" borderId="25" xfId="40" applyFont="1" applyBorder="1" applyAlignment="1" applyProtection="1">
      <alignment horizontal="left"/>
      <protection hidden="1"/>
    </xf>
    <xf numFmtId="0" fontId="38" fillId="0" borderId="0" xfId="40" applyFont="1" applyAlignment="1" applyProtection="1">
      <alignment horizontal="left"/>
      <protection hidden="1"/>
    </xf>
    <xf numFmtId="179" fontId="38" fillId="2" borderId="4" xfId="0" applyNumberFormat="1" applyFont="1" applyFill="1" applyBorder="1" applyAlignment="1" applyProtection="1">
      <alignment horizontal="right"/>
      <protection hidden="1"/>
    </xf>
    <xf numFmtId="179" fontId="39" fillId="8" borderId="4" xfId="0" applyNumberFormat="1" applyFont="1" applyFill="1" applyBorder="1" applyProtection="1">
      <protection hidden="1"/>
    </xf>
    <xf numFmtId="0" fontId="38" fillId="0" borderId="27" xfId="40" applyFont="1" applyBorder="1" applyAlignment="1" applyProtection="1">
      <alignment horizontal="left"/>
      <protection hidden="1"/>
    </xf>
    <xf numFmtId="0" fontId="38" fillId="0" borderId="28" xfId="40" applyFont="1" applyBorder="1" applyAlignment="1" applyProtection="1">
      <alignment horizontal="left"/>
      <protection hidden="1"/>
    </xf>
    <xf numFmtId="179" fontId="38" fillId="0" borderId="7" xfId="81" applyNumberFormat="1" applyFont="1" applyBorder="1" applyProtection="1">
      <protection hidden="1"/>
    </xf>
    <xf numFmtId="179" fontId="38" fillId="0" borderId="7" xfId="0" applyNumberFormat="1" applyFont="1" applyBorder="1" applyProtection="1">
      <protection hidden="1"/>
    </xf>
    <xf numFmtId="0" fontId="38" fillId="0" borderId="26" xfId="40" applyFont="1" applyBorder="1" applyAlignment="1" applyProtection="1">
      <alignment horizontal="left"/>
      <protection hidden="1"/>
    </xf>
    <xf numFmtId="0" fontId="38" fillId="0" borderId="29" xfId="40" applyFont="1" applyBorder="1" applyAlignment="1" applyProtection="1">
      <alignment horizontal="left"/>
      <protection hidden="1"/>
    </xf>
    <xf numFmtId="179" fontId="38" fillId="0" borderId="8" xfId="81" applyNumberFormat="1" applyFont="1" applyBorder="1" applyProtection="1">
      <protection hidden="1"/>
    </xf>
    <xf numFmtId="179" fontId="38" fillId="0" borderId="8" xfId="0" applyNumberFormat="1" applyFont="1" applyBorder="1" applyProtection="1">
      <protection hidden="1"/>
    </xf>
    <xf numFmtId="165" fontId="39" fillId="0" borderId="0" xfId="0" applyNumberFormat="1" applyFont="1" applyProtection="1">
      <protection hidden="1"/>
    </xf>
    <xf numFmtId="179" fontId="38" fillId="9" borderId="4" xfId="0" applyNumberFormat="1" applyFont="1" applyFill="1" applyBorder="1" applyProtection="1">
      <protection hidden="1"/>
    </xf>
    <xf numFmtId="0" fontId="38" fillId="2" borderId="25" xfId="40" applyFont="1" applyFill="1" applyBorder="1" applyAlignment="1" applyProtection="1">
      <alignment horizontal="left"/>
      <protection hidden="1"/>
    </xf>
    <xf numFmtId="0" fontId="38" fillId="2" borderId="0" xfId="40" applyFont="1" applyFill="1" applyAlignment="1" applyProtection="1">
      <alignment horizontal="left"/>
      <protection hidden="1"/>
    </xf>
    <xf numFmtId="179" fontId="38" fillId="2" borderId="9" xfId="0" applyNumberFormat="1" applyFont="1" applyFill="1" applyBorder="1" applyProtection="1">
      <protection hidden="1"/>
    </xf>
    <xf numFmtId="179" fontId="38" fillId="9" borderId="4" xfId="81" applyNumberFormat="1" applyFont="1" applyFill="1" applyBorder="1" applyProtection="1">
      <protection hidden="1"/>
    </xf>
    <xf numFmtId="179" fontId="38" fillId="9" borderId="4" xfId="40" applyNumberFormat="1" applyFont="1" applyFill="1" applyBorder="1" applyProtection="1">
      <protection hidden="1"/>
    </xf>
    <xf numFmtId="165" fontId="38" fillId="0" borderId="0" xfId="0" applyNumberFormat="1" applyFont="1" applyProtection="1">
      <protection hidden="1"/>
    </xf>
    <xf numFmtId="179" fontId="38" fillId="0" borderId="9" xfId="0" applyNumberFormat="1" applyFont="1" applyBorder="1" applyProtection="1">
      <protection hidden="1"/>
    </xf>
    <xf numFmtId="179" fontId="37" fillId="8" borderId="4" xfId="0" applyNumberFormat="1" applyFont="1" applyFill="1" applyBorder="1" applyProtection="1">
      <protection hidden="1"/>
    </xf>
    <xf numFmtId="0" fontId="37" fillId="8" borderId="12" xfId="40" applyFont="1" applyFill="1" applyBorder="1" applyAlignment="1" applyProtection="1">
      <alignment horizontal="left"/>
      <protection hidden="1"/>
    </xf>
    <xf numFmtId="0" fontId="37" fillId="8" borderId="3" xfId="40" applyFont="1" applyFill="1" applyBorder="1" applyAlignment="1" applyProtection="1">
      <alignment horizontal="left"/>
      <protection hidden="1"/>
    </xf>
    <xf numFmtId="0" fontId="40" fillId="8" borderId="2" xfId="40" applyFont="1" applyFill="1" applyBorder="1" applyProtection="1">
      <protection hidden="1"/>
    </xf>
    <xf numFmtId="179" fontId="39" fillId="0" borderId="0" xfId="0" applyNumberFormat="1" applyFont="1" applyProtection="1">
      <protection hidden="1"/>
    </xf>
    <xf numFmtId="0" fontId="39" fillId="0" borderId="0" xfId="0" applyFont="1"/>
    <xf numFmtId="0" fontId="39" fillId="2" borderId="24" xfId="40" applyFont="1" applyFill="1" applyBorder="1" applyProtection="1">
      <protection hidden="1"/>
    </xf>
    <xf numFmtId="0" fontId="39" fillId="2" borderId="11" xfId="40" applyFont="1" applyFill="1" applyBorder="1" applyProtection="1">
      <protection hidden="1"/>
    </xf>
    <xf numFmtId="0" fontId="39" fillId="0" borderId="0" xfId="40" applyFont="1"/>
    <xf numFmtId="0" fontId="39" fillId="2" borderId="0" xfId="40" applyFont="1" applyFill="1" applyProtection="1">
      <protection hidden="1"/>
    </xf>
    <xf numFmtId="0" fontId="39" fillId="2" borderId="10" xfId="40" applyFont="1" applyFill="1" applyBorder="1" applyProtection="1">
      <protection hidden="1"/>
    </xf>
    <xf numFmtId="0" fontId="39" fillId="2" borderId="5" xfId="40" applyFont="1" applyFill="1" applyBorder="1" applyProtection="1">
      <protection hidden="1"/>
    </xf>
    <xf numFmtId="0" fontId="39" fillId="2" borderId="1" xfId="40" applyFont="1" applyFill="1" applyBorder="1" applyProtection="1">
      <protection hidden="1"/>
    </xf>
    <xf numFmtId="0" fontId="38" fillId="0" borderId="23" xfId="40" applyFont="1" applyBorder="1" applyAlignment="1" applyProtection="1">
      <alignment horizontal="left" wrapText="1"/>
      <protection hidden="1"/>
    </xf>
    <xf numFmtId="0" fontId="38" fillId="0" borderId="24" xfId="40" applyFont="1" applyBorder="1" applyAlignment="1" applyProtection="1">
      <alignment wrapText="1"/>
      <protection hidden="1"/>
    </xf>
    <xf numFmtId="0" fontId="39" fillId="0" borderId="0" xfId="40" applyFont="1" applyProtection="1">
      <protection hidden="1"/>
    </xf>
    <xf numFmtId="0" fontId="39" fillId="0" borderId="24" xfId="40" applyFont="1" applyBorder="1" applyAlignment="1">
      <alignment wrapText="1"/>
    </xf>
    <xf numFmtId="0" fontId="38" fillId="9" borderId="2" xfId="40" applyFont="1" applyFill="1" applyBorder="1" applyAlignment="1" applyProtection="1">
      <alignment horizontal="left" vertical="center"/>
      <protection hidden="1"/>
    </xf>
    <xf numFmtId="0" fontId="39" fillId="9" borderId="2" xfId="40" applyFont="1" applyFill="1" applyBorder="1" applyProtection="1">
      <protection hidden="1"/>
    </xf>
    <xf numFmtId="0" fontId="38" fillId="9" borderId="2" xfId="40" applyFont="1" applyFill="1" applyBorder="1" applyAlignment="1" applyProtection="1">
      <alignment vertical="center" wrapText="1"/>
      <protection hidden="1"/>
    </xf>
    <xf numFmtId="0" fontId="38" fillId="0" borderId="17" xfId="40" applyFont="1" applyBorder="1" applyAlignment="1" applyProtection="1">
      <alignment horizontal="left"/>
      <protection locked="0"/>
    </xf>
    <xf numFmtId="0" fontId="38" fillId="0" borderId="18" xfId="40" applyFont="1" applyBorder="1" applyAlignment="1" applyProtection="1">
      <alignment horizontal="left"/>
      <protection hidden="1"/>
    </xf>
    <xf numFmtId="179" fontId="38" fillId="0" borderId="18" xfId="40" applyNumberFormat="1" applyFont="1" applyBorder="1" applyAlignment="1" applyProtection="1">
      <alignment horizontal="center"/>
      <protection hidden="1"/>
    </xf>
    <xf numFmtId="9" fontId="41" fillId="0" borderId="18" xfId="40" applyNumberFormat="1" applyFont="1" applyBorder="1" applyAlignment="1" applyProtection="1">
      <alignment horizontal="center"/>
      <protection locked="0"/>
    </xf>
    <xf numFmtId="167" fontId="38" fillId="0" borderId="18" xfId="40" applyNumberFormat="1" applyFont="1" applyBorder="1" applyProtection="1">
      <protection hidden="1"/>
    </xf>
    <xf numFmtId="0" fontId="38" fillId="0" borderId="17" xfId="0" applyFont="1" applyBorder="1" applyAlignment="1" applyProtection="1">
      <alignment horizontal="left"/>
      <protection locked="0"/>
    </xf>
    <xf numFmtId="0" fontId="38" fillId="0" borderId="30" xfId="40" applyFont="1" applyBorder="1" applyAlignment="1" applyProtection="1">
      <alignment horizontal="left"/>
      <protection hidden="1"/>
    </xf>
    <xf numFmtId="9" fontId="41" fillId="0" borderId="30" xfId="40" applyNumberFormat="1" applyFont="1" applyBorder="1" applyAlignment="1" applyProtection="1">
      <alignment horizontal="center"/>
      <protection locked="0"/>
    </xf>
    <xf numFmtId="167" fontId="38" fillId="0" borderId="30" xfId="40" applyNumberFormat="1" applyFont="1" applyBorder="1" applyProtection="1">
      <protection hidden="1"/>
    </xf>
    <xf numFmtId="0" fontId="38" fillId="0" borderId="31" xfId="0" applyFont="1" applyBorder="1" applyAlignment="1" applyProtection="1">
      <alignment horizontal="left"/>
      <protection locked="0"/>
    </xf>
    <xf numFmtId="10" fontId="41" fillId="0" borderId="30" xfId="40" applyNumberFormat="1" applyFont="1" applyBorder="1" applyAlignment="1" applyProtection="1">
      <alignment horizontal="center"/>
      <protection locked="0"/>
    </xf>
    <xf numFmtId="167" fontId="38" fillId="9" borderId="3" xfId="40" applyNumberFormat="1" applyFont="1" applyFill="1" applyBorder="1" applyProtection="1">
      <protection hidden="1"/>
    </xf>
    <xf numFmtId="0" fontId="38" fillId="9" borderId="3" xfId="40" applyFont="1" applyFill="1" applyBorder="1" applyProtection="1">
      <protection hidden="1"/>
    </xf>
    <xf numFmtId="0" fontId="39" fillId="9" borderId="3" xfId="40" applyFont="1" applyFill="1" applyBorder="1" applyProtection="1">
      <protection hidden="1"/>
    </xf>
    <xf numFmtId="0" fontId="38" fillId="0" borderId="12" xfId="0" applyFont="1" applyBorder="1" applyAlignment="1" applyProtection="1">
      <alignment horizontal="left"/>
      <protection hidden="1"/>
    </xf>
    <xf numFmtId="0" fontId="38" fillId="0" borderId="3" xfId="40" applyFont="1" applyBorder="1" applyAlignment="1" applyProtection="1">
      <alignment horizontal="center"/>
      <protection hidden="1"/>
    </xf>
    <xf numFmtId="0" fontId="39" fillId="0" borderId="2" xfId="40" applyFont="1" applyBorder="1" applyAlignment="1" applyProtection="1">
      <alignment horizontal="center"/>
      <protection hidden="1"/>
    </xf>
    <xf numFmtId="0" fontId="41" fillId="0" borderId="3" xfId="40" applyFont="1" applyBorder="1" applyProtection="1">
      <protection hidden="1"/>
    </xf>
    <xf numFmtId="169" fontId="38" fillId="2" borderId="4" xfId="44" applyNumberFormat="1" applyFont="1" applyFill="1" applyBorder="1" applyProtection="1">
      <protection hidden="1"/>
    </xf>
    <xf numFmtId="169" fontId="38" fillId="2" borderId="4" xfId="40" applyNumberFormat="1" applyFont="1" applyFill="1" applyBorder="1" applyProtection="1">
      <protection hidden="1"/>
    </xf>
    <xf numFmtId="0" fontId="38" fillId="9" borderId="3" xfId="0" applyFont="1" applyFill="1" applyBorder="1" applyAlignment="1" applyProtection="1">
      <alignment horizontal="left"/>
      <protection hidden="1"/>
    </xf>
    <xf numFmtId="168" fontId="38" fillId="9" borderId="2" xfId="0" applyNumberFormat="1" applyFont="1" applyFill="1" applyBorder="1" applyAlignment="1" applyProtection="1">
      <alignment horizontal="left"/>
      <protection hidden="1"/>
    </xf>
    <xf numFmtId="179" fontId="38" fillId="9" borderId="4" xfId="40" applyNumberFormat="1" applyFont="1" applyFill="1" applyBorder="1" applyAlignment="1" applyProtection="1">
      <alignment horizontal="right"/>
      <protection hidden="1"/>
    </xf>
    <xf numFmtId="0" fontId="38" fillId="0" borderId="25" xfId="0" applyFont="1" applyBorder="1" applyAlignment="1" applyProtection="1">
      <alignment horizontal="left"/>
      <protection hidden="1"/>
    </xf>
    <xf numFmtId="0" fontId="38" fillId="0" borderId="0" xfId="0" applyFont="1" applyAlignment="1" applyProtection="1">
      <alignment horizontal="left"/>
      <protection hidden="1"/>
    </xf>
    <xf numFmtId="179" fontId="38" fillId="2" borderId="4" xfId="40" applyNumberFormat="1" applyFont="1" applyFill="1" applyBorder="1" applyAlignment="1" applyProtection="1">
      <alignment horizontal="right"/>
      <protection hidden="1"/>
    </xf>
    <xf numFmtId="179" fontId="39" fillId="8" borderId="4" xfId="40" applyNumberFormat="1" applyFont="1" applyFill="1" applyBorder="1" applyProtection="1">
      <protection hidden="1"/>
    </xf>
    <xf numFmtId="179" fontId="38" fillId="0" borderId="7" xfId="44" applyNumberFormat="1" applyFont="1" applyBorder="1" applyProtection="1">
      <protection hidden="1"/>
    </xf>
    <xf numFmtId="179" fontId="38" fillId="0" borderId="7" xfId="40" applyNumberFormat="1" applyFont="1" applyBorder="1" applyProtection="1">
      <protection hidden="1"/>
    </xf>
    <xf numFmtId="179" fontId="38" fillId="0" borderId="8" xfId="44" applyNumberFormat="1" applyFont="1" applyBorder="1" applyProtection="1">
      <protection hidden="1"/>
    </xf>
    <xf numFmtId="179" fontId="38" fillId="0" borderId="8" xfId="40" applyNumberFormat="1" applyFont="1" applyBorder="1" applyProtection="1">
      <protection hidden="1"/>
    </xf>
    <xf numFmtId="179" fontId="38" fillId="2" borderId="9" xfId="40" applyNumberFormat="1" applyFont="1" applyFill="1" applyBorder="1" applyProtection="1">
      <protection hidden="1"/>
    </xf>
    <xf numFmtId="179" fontId="38" fillId="9" borderId="4" xfId="44" applyNumberFormat="1" applyFont="1" applyFill="1" applyBorder="1" applyProtection="1">
      <protection hidden="1"/>
    </xf>
    <xf numFmtId="165" fontId="38" fillId="0" borderId="0" xfId="40" applyNumberFormat="1" applyFont="1" applyProtection="1">
      <protection hidden="1"/>
    </xf>
    <xf numFmtId="179" fontId="38" fillId="0" borderId="9" xfId="40" applyNumberFormat="1" applyFont="1" applyBorder="1" applyProtection="1">
      <protection hidden="1"/>
    </xf>
    <xf numFmtId="0" fontId="38" fillId="9" borderId="12" xfId="0" applyFont="1" applyFill="1" applyBorder="1" applyAlignment="1" applyProtection="1">
      <alignment horizontal="left"/>
      <protection hidden="1"/>
    </xf>
    <xf numFmtId="179" fontId="37" fillId="8" borderId="4" xfId="40" applyNumberFormat="1" applyFont="1" applyFill="1" applyBorder="1" applyProtection="1">
      <protection hidden="1"/>
    </xf>
    <xf numFmtId="0" fontId="37" fillId="8" borderId="12" xfId="0" applyFont="1" applyFill="1" applyBorder="1" applyAlignment="1" applyProtection="1">
      <alignment horizontal="left"/>
      <protection hidden="1"/>
    </xf>
    <xf numFmtId="0" fontId="37" fillId="8" borderId="3" xfId="0" applyFont="1" applyFill="1" applyBorder="1" applyAlignment="1" applyProtection="1">
      <alignment horizontal="left"/>
      <protection hidden="1"/>
    </xf>
    <xf numFmtId="0" fontId="40" fillId="8" borderId="2" xfId="0" applyFont="1" applyFill="1" applyBorder="1" applyProtection="1">
      <protection hidden="1"/>
    </xf>
    <xf numFmtId="0" fontId="39" fillId="9" borderId="2" xfId="40" applyFont="1" applyFill="1" applyBorder="1" applyAlignment="1" applyProtection="1">
      <alignment horizontal="center" vertical="center"/>
      <protection hidden="1"/>
    </xf>
    <xf numFmtId="179" fontId="34" fillId="2" borderId="28" xfId="0" applyNumberFormat="1" applyFont="1" applyFill="1" applyBorder="1"/>
    <xf numFmtId="179" fontId="34" fillId="2" borderId="5" xfId="0" applyNumberFormat="1" applyFont="1" applyFill="1" applyBorder="1"/>
    <xf numFmtId="0" fontId="38" fillId="8" borderId="3" xfId="0" applyFont="1" applyFill="1" applyBorder="1" applyProtection="1">
      <protection hidden="1"/>
    </xf>
    <xf numFmtId="0" fontId="39" fillId="0" borderId="2" xfId="0" applyFont="1" applyBorder="1" applyProtection="1">
      <protection hidden="1"/>
    </xf>
    <xf numFmtId="0" fontId="38" fillId="2" borderId="4" xfId="0" applyFont="1" applyFill="1" applyBorder="1" applyProtection="1">
      <protection hidden="1"/>
    </xf>
    <xf numFmtId="0" fontId="37" fillId="0" borderId="6" xfId="0" applyFont="1" applyBorder="1" applyAlignment="1" applyProtection="1">
      <alignment horizontal="left"/>
      <protection hidden="1"/>
    </xf>
    <xf numFmtId="0" fontId="37" fillId="0" borderId="5" xfId="0" applyFont="1" applyBorder="1" applyAlignment="1" applyProtection="1">
      <alignment horizontal="left"/>
      <protection hidden="1"/>
    </xf>
    <xf numFmtId="0" fontId="40" fillId="0" borderId="5" xfId="0" applyFont="1" applyBorder="1" applyProtection="1">
      <protection hidden="1"/>
    </xf>
    <xf numFmtId="171" fontId="38" fillId="2" borderId="4" xfId="0" applyNumberFormat="1" applyFont="1" applyFill="1" applyBorder="1" applyProtection="1">
      <protection hidden="1"/>
    </xf>
    <xf numFmtId="0" fontId="40" fillId="0" borderId="0" xfId="0" applyFont="1" applyProtection="1">
      <protection hidden="1"/>
    </xf>
    <xf numFmtId="179" fontId="40" fillId="0" borderId="0" xfId="0" applyNumberFormat="1" applyFont="1" applyProtection="1">
      <protection hidden="1"/>
    </xf>
    <xf numFmtId="172" fontId="38" fillId="2" borderId="18" xfId="21" applyNumberFormat="1" applyFont="1" applyFill="1" applyBorder="1" applyAlignment="1">
      <alignment horizontal="center"/>
    </xf>
    <xf numFmtId="172" fontId="38" fillId="2" borderId="18" xfId="21" applyNumberFormat="1" applyFont="1" applyFill="1" applyBorder="1" applyAlignment="1">
      <alignment horizontal="center" vertical="center" wrapText="1"/>
    </xf>
    <xf numFmtId="179" fontId="38" fillId="2" borderId="18" xfId="0" applyNumberFormat="1" applyFont="1" applyFill="1" applyBorder="1" applyAlignment="1">
      <alignment horizontal="center"/>
    </xf>
    <xf numFmtId="179" fontId="38" fillId="2" borderId="18" xfId="0" applyNumberFormat="1" applyFont="1" applyFill="1" applyBorder="1"/>
    <xf numFmtId="0" fontId="2" fillId="7" borderId="0" xfId="74" applyFont="1" applyFill="1" applyAlignment="1">
      <alignment horizontal="right" vertical="center"/>
    </xf>
    <xf numFmtId="15" fontId="3" fillId="7" borderId="0" xfId="45" applyNumberFormat="1" applyFill="1" applyAlignment="1">
      <alignment horizontal="right"/>
    </xf>
    <xf numFmtId="0" fontId="33" fillId="7" borderId="0" xfId="0" applyFont="1" applyFill="1" applyAlignment="1">
      <alignment horizontal="right" wrapText="1"/>
    </xf>
    <xf numFmtId="174" fontId="22" fillId="7" borderId="0" xfId="40" applyNumberFormat="1" applyFont="1" applyFill="1" applyAlignment="1" applyProtection="1">
      <alignment horizontal="right"/>
      <protection locked="0"/>
    </xf>
    <xf numFmtId="0" fontId="3" fillId="7" borderId="0" xfId="74" applyFill="1" applyAlignment="1">
      <alignment horizontal="right"/>
    </xf>
    <xf numFmtId="167" fontId="2" fillId="7" borderId="0" xfId="74" applyNumberFormat="1" applyFont="1" applyFill="1" applyAlignment="1">
      <alignment horizontal="right"/>
    </xf>
    <xf numFmtId="0" fontId="39" fillId="2" borderId="12" xfId="0" applyFont="1" applyFill="1" applyBorder="1" applyAlignment="1">
      <alignment vertical="center" wrapText="1"/>
    </xf>
    <xf numFmtId="0" fontId="39" fillId="2" borderId="3" xfId="0" applyFont="1" applyFill="1" applyBorder="1" applyAlignment="1">
      <alignment vertical="center" wrapText="1"/>
    </xf>
    <xf numFmtId="0" fontId="39" fillId="2" borderId="3" xfId="0" applyFont="1" applyFill="1" applyBorder="1" applyAlignment="1">
      <alignment wrapText="1"/>
    </xf>
    <xf numFmtId="0" fontId="39" fillId="2" borderId="2" xfId="0" applyFont="1" applyFill="1" applyBorder="1" applyAlignment="1">
      <alignment wrapText="1"/>
    </xf>
    <xf numFmtId="0" fontId="3" fillId="0" borderId="0" xfId="0" applyFont="1" applyAlignment="1">
      <alignment horizontal="center" wrapText="1"/>
    </xf>
    <xf numFmtId="0" fontId="28" fillId="0" borderId="0" xfId="0" applyFont="1" applyAlignment="1">
      <alignment horizontal="center" wrapText="1"/>
    </xf>
    <xf numFmtId="0" fontId="2" fillId="0" borderId="12" xfId="74" applyFont="1" applyBorder="1" applyAlignment="1">
      <alignment vertical="center" wrapText="1"/>
    </xf>
    <xf numFmtId="0" fontId="2" fillId="0" borderId="2" xfId="74" applyFont="1" applyBorder="1" applyAlignment="1">
      <alignment vertical="center" wrapText="1"/>
    </xf>
    <xf numFmtId="0" fontId="2" fillId="0" borderId="12" xfId="74" applyFont="1" applyBorder="1" applyAlignment="1">
      <alignment horizontal="center" vertical="center"/>
    </xf>
    <xf numFmtId="0" fontId="2" fillId="0" borderId="3" xfId="74" applyFont="1" applyBorder="1" applyAlignment="1">
      <alignment horizontal="center" vertical="center"/>
    </xf>
    <xf numFmtId="0" fontId="2" fillId="0" borderId="2" xfId="74" applyFont="1" applyBorder="1" applyAlignment="1">
      <alignment horizontal="center" vertical="center"/>
    </xf>
    <xf numFmtId="0" fontId="2" fillId="0" borderId="13" xfId="74" applyFont="1" applyBorder="1" applyAlignment="1">
      <alignment horizontal="center" vertical="center" textRotation="90" wrapText="1"/>
    </xf>
    <xf numFmtId="0" fontId="2" fillId="0" borderId="9" xfId="74" applyFont="1" applyBorder="1" applyAlignment="1">
      <alignment horizontal="center" vertical="center" textRotation="90" wrapText="1"/>
    </xf>
    <xf numFmtId="0" fontId="2" fillId="0" borderId="37" xfId="74" applyFont="1" applyBorder="1" applyAlignment="1">
      <alignment horizontal="center" vertical="center" textRotation="90" wrapText="1"/>
    </xf>
    <xf numFmtId="0" fontId="2" fillId="7" borderId="0" xfId="40" applyFont="1" applyFill="1" applyAlignment="1" applyProtection="1">
      <alignment horizontal="center"/>
      <protection hidden="1"/>
    </xf>
    <xf numFmtId="0" fontId="2" fillId="7" borderId="0" xfId="0" applyFont="1" applyFill="1" applyAlignment="1" applyProtection="1">
      <alignment horizontal="center" wrapText="1"/>
      <protection hidden="1"/>
    </xf>
    <xf numFmtId="0" fontId="2" fillId="7" borderId="41" xfId="40" applyFont="1" applyFill="1" applyBorder="1" applyAlignment="1" applyProtection="1">
      <alignment horizontal="left"/>
      <protection hidden="1"/>
    </xf>
    <xf numFmtId="0" fontId="2" fillId="7" borderId="41" xfId="0" applyFont="1" applyFill="1" applyBorder="1" applyAlignment="1" applyProtection="1">
      <alignment horizontal="left" wrapText="1"/>
      <protection hidden="1"/>
    </xf>
    <xf numFmtId="0" fontId="2" fillId="7" borderId="25" xfId="0" applyFont="1" applyFill="1" applyBorder="1" applyAlignment="1" applyProtection="1">
      <alignment horizontal="center" vertical="center"/>
      <protection hidden="1"/>
    </xf>
    <xf numFmtId="0" fontId="2" fillId="7" borderId="0" xfId="0" applyFont="1" applyFill="1" applyAlignment="1" applyProtection="1">
      <alignment horizontal="center" vertical="center"/>
      <protection hidden="1"/>
    </xf>
    <xf numFmtId="0" fontId="2" fillId="7" borderId="6" xfId="0" applyFont="1" applyFill="1" applyBorder="1" applyAlignment="1" applyProtection="1">
      <alignment horizontal="center" vertical="center"/>
      <protection hidden="1"/>
    </xf>
    <xf numFmtId="0" fontId="2" fillId="7" borderId="5" xfId="0" applyFont="1" applyFill="1" applyBorder="1" applyAlignment="1" applyProtection="1">
      <alignment horizontal="center" vertical="center"/>
      <protection hidden="1"/>
    </xf>
    <xf numFmtId="0" fontId="18" fillId="2" borderId="50" xfId="0" applyFont="1" applyFill="1" applyBorder="1" applyAlignment="1">
      <alignment vertical="center" wrapText="1"/>
    </xf>
    <xf numFmtId="0" fontId="0" fillId="0" borderId="33" xfId="0" applyBorder="1" applyAlignment="1">
      <alignment vertical="center" wrapText="1"/>
    </xf>
    <xf numFmtId="0" fontId="30" fillId="8" borderId="12" xfId="40" applyFont="1" applyFill="1" applyBorder="1" applyAlignment="1" applyProtection="1">
      <alignment horizontal="left" vertical="center" wrapText="1"/>
      <protection hidden="1"/>
    </xf>
    <xf numFmtId="0" fontId="30" fillId="8" borderId="3" xfId="40" applyFont="1" applyFill="1" applyBorder="1" applyAlignment="1" applyProtection="1">
      <alignment horizontal="left" vertical="center" wrapText="1"/>
      <protection hidden="1"/>
    </xf>
    <xf numFmtId="2" fontId="30" fillId="8" borderId="3" xfId="40" applyNumberFormat="1" applyFont="1" applyFill="1" applyBorder="1" applyAlignment="1" applyProtection="1">
      <alignment horizontal="center" vertical="center" wrapText="1"/>
      <protection hidden="1"/>
    </xf>
    <xf numFmtId="0" fontId="31" fillId="8" borderId="3" xfId="0" applyFont="1" applyFill="1" applyBorder="1" applyAlignment="1" applyProtection="1">
      <alignment horizontal="left" vertical="center" wrapText="1"/>
      <protection hidden="1"/>
    </xf>
    <xf numFmtId="0" fontId="2" fillId="9" borderId="12" xfId="0" applyFont="1" applyFill="1" applyBorder="1" applyAlignment="1" applyProtection="1">
      <alignment horizontal="left" vertical="center" wrapText="1"/>
      <protection hidden="1"/>
    </xf>
    <xf numFmtId="0" fontId="0" fillId="9" borderId="3" xfId="0" applyFill="1" applyBorder="1" applyAlignment="1">
      <alignment horizontal="left" vertical="center" wrapText="1"/>
    </xf>
    <xf numFmtId="0" fontId="18" fillId="2" borderId="27" xfId="0" applyFont="1" applyFill="1" applyBorder="1" applyAlignment="1">
      <alignment vertical="center" wrapText="1"/>
    </xf>
    <xf numFmtId="0" fontId="0" fillId="0" borderId="28" xfId="0" applyBorder="1" applyAlignment="1">
      <alignment vertical="center" wrapText="1"/>
    </xf>
    <xf numFmtId="0" fontId="2" fillId="9" borderId="3" xfId="0" applyFont="1" applyFill="1" applyBorder="1" applyAlignment="1" applyProtection="1">
      <alignment horizontal="left" vertical="center"/>
      <protection hidden="1"/>
    </xf>
    <xf numFmtId="0" fontId="19" fillId="0" borderId="0" xfId="56" applyFont="1" applyAlignment="1">
      <alignment horizontal="center"/>
    </xf>
    <xf numFmtId="0" fontId="2" fillId="9" borderId="12" xfId="40" applyFont="1" applyFill="1" applyBorder="1" applyAlignment="1" applyProtection="1">
      <alignment horizontal="left" wrapText="1"/>
      <protection hidden="1"/>
    </xf>
    <xf numFmtId="0" fontId="2" fillId="9" borderId="3" xfId="40" applyFont="1" applyFill="1" applyBorder="1" applyAlignment="1" applyProtection="1">
      <alignment horizontal="left" wrapText="1"/>
      <protection hidden="1"/>
    </xf>
    <xf numFmtId="0" fontId="2" fillId="9" borderId="2" xfId="40" applyFont="1" applyFill="1" applyBorder="1" applyAlignment="1" applyProtection="1">
      <alignment horizontal="left" wrapText="1"/>
      <protection hidden="1"/>
    </xf>
    <xf numFmtId="0" fontId="3" fillId="0" borderId="23" xfId="0" applyFont="1" applyBorder="1" applyAlignment="1" applyProtection="1">
      <alignment horizontal="left" vertical="center"/>
      <protection hidden="1"/>
    </xf>
    <xf numFmtId="0" fontId="3" fillId="0" borderId="24" xfId="0" applyFont="1" applyBorder="1" applyAlignment="1" applyProtection="1">
      <alignment horizontal="left" vertical="center"/>
      <protection hidden="1"/>
    </xf>
    <xf numFmtId="0" fontId="3" fillId="0" borderId="11" xfId="0" applyFont="1" applyBorder="1" applyAlignment="1" applyProtection="1">
      <alignment horizontal="left" vertical="center"/>
      <protection hidden="1"/>
    </xf>
    <xf numFmtId="0" fontId="3" fillId="0" borderId="25" xfId="0" applyFont="1" applyBorder="1" applyAlignment="1" applyProtection="1">
      <alignment horizontal="left" vertical="center"/>
      <protection hidden="1"/>
    </xf>
    <xf numFmtId="0" fontId="3" fillId="0" borderId="0" xfId="0" applyFont="1" applyAlignment="1" applyProtection="1">
      <alignment horizontal="left" vertical="center"/>
      <protection hidden="1"/>
    </xf>
    <xf numFmtId="0" fontId="3" fillId="0" borderId="10" xfId="0" applyFont="1" applyBorder="1" applyAlignment="1" applyProtection="1">
      <alignment horizontal="left" vertical="center"/>
      <protection hidden="1"/>
    </xf>
    <xf numFmtId="0" fontId="3" fillId="0" borderId="6" xfId="0" applyFont="1" applyBorder="1" applyAlignment="1" applyProtection="1">
      <alignment horizontal="left" vertical="center"/>
      <protection hidden="1"/>
    </xf>
    <xf numFmtId="0" fontId="3" fillId="0" borderId="5" xfId="0" applyFont="1" applyBorder="1" applyAlignment="1" applyProtection="1">
      <alignment horizontal="left" vertical="center"/>
      <protection hidden="1"/>
    </xf>
    <xf numFmtId="0" fontId="3" fillId="0" borderId="1" xfId="0" applyFont="1" applyBorder="1" applyAlignment="1" applyProtection="1">
      <alignment horizontal="left" vertical="center"/>
      <protection hidden="1"/>
    </xf>
    <xf numFmtId="0" fontId="18" fillId="2" borderId="42" xfId="0" applyFont="1" applyFill="1" applyBorder="1" applyAlignment="1">
      <alignment wrapText="1"/>
    </xf>
    <xf numFmtId="0" fontId="0" fillId="0" borderId="41" xfId="0" applyBorder="1" applyAlignment="1">
      <alignment wrapText="1"/>
    </xf>
    <xf numFmtId="0" fontId="30" fillId="8" borderId="12" xfId="40" applyFont="1" applyFill="1" applyBorder="1" applyAlignment="1" applyProtection="1">
      <alignment horizontal="left" wrapText="1"/>
      <protection hidden="1"/>
    </xf>
    <xf numFmtId="0" fontId="29" fillId="8" borderId="3" xfId="40" applyFont="1" applyFill="1" applyBorder="1" applyAlignment="1">
      <alignment wrapText="1"/>
    </xf>
    <xf numFmtId="0" fontId="30" fillId="8" borderId="3" xfId="40" applyFont="1" applyFill="1" applyBorder="1" applyAlignment="1" applyProtection="1">
      <alignment wrapText="1"/>
      <protection hidden="1"/>
    </xf>
    <xf numFmtId="0" fontId="3" fillId="9" borderId="3" xfId="40" applyFill="1" applyBorder="1" applyAlignment="1">
      <alignment horizontal="left" wrapText="1"/>
    </xf>
    <xf numFmtId="0" fontId="3" fillId="9" borderId="2" xfId="40" applyFill="1" applyBorder="1" applyAlignment="1">
      <alignment horizontal="left" wrapText="1"/>
    </xf>
    <xf numFmtId="0" fontId="31" fillId="8" borderId="12" xfId="0" applyFont="1" applyFill="1" applyBorder="1" applyAlignment="1" applyProtection="1">
      <alignment horizontal="left" wrapText="1"/>
      <protection hidden="1"/>
    </xf>
    <xf numFmtId="0" fontId="29" fillId="8" borderId="3" xfId="0" applyFont="1" applyFill="1" applyBorder="1" applyAlignment="1">
      <alignment horizontal="left" wrapText="1"/>
    </xf>
    <xf numFmtId="0" fontId="29" fillId="8" borderId="2" xfId="0" applyFont="1" applyFill="1" applyBorder="1" applyAlignment="1">
      <alignment horizontal="left" wrapText="1"/>
    </xf>
    <xf numFmtId="0" fontId="2" fillId="9" borderId="12" xfId="0" applyFont="1" applyFill="1" applyBorder="1" applyAlignment="1" applyProtection="1">
      <alignment horizontal="left" wrapText="1"/>
      <protection hidden="1"/>
    </xf>
    <xf numFmtId="0" fontId="0" fillId="9" borderId="3" xfId="0" applyFill="1" applyBorder="1" applyAlignment="1">
      <alignment horizontal="left" wrapText="1"/>
    </xf>
    <xf numFmtId="0" fontId="18" fillId="2" borderId="27" xfId="0" applyFont="1" applyFill="1" applyBorder="1" applyAlignment="1">
      <alignment wrapText="1"/>
    </xf>
    <xf numFmtId="0" fontId="0" fillId="0" borderId="28" xfId="0" applyBorder="1" applyAlignment="1">
      <alignment wrapText="1"/>
    </xf>
    <xf numFmtId="0" fontId="31" fillId="8" borderId="12" xfId="40" applyFont="1" applyFill="1" applyBorder="1" applyAlignment="1" applyProtection="1">
      <alignment horizontal="left" wrapText="1" readingOrder="1"/>
      <protection hidden="1"/>
    </xf>
    <xf numFmtId="0" fontId="31" fillId="8" borderId="3" xfId="40" applyFont="1" applyFill="1" applyBorder="1" applyAlignment="1" applyProtection="1">
      <alignment horizontal="left" wrapText="1" readingOrder="1"/>
      <protection hidden="1"/>
    </xf>
    <xf numFmtId="0" fontId="31" fillId="8" borderId="2" xfId="40" applyFont="1" applyFill="1" applyBorder="1" applyAlignment="1" applyProtection="1">
      <alignment horizontal="left" wrapText="1" readingOrder="1"/>
      <protection hidden="1"/>
    </xf>
    <xf numFmtId="0" fontId="2" fillId="9" borderId="12" xfId="40" applyFont="1" applyFill="1" applyBorder="1" applyAlignment="1" applyProtection="1">
      <alignment horizontal="left" vertical="center" wrapText="1"/>
      <protection hidden="1"/>
    </xf>
    <xf numFmtId="0" fontId="2" fillId="9" borderId="3" xfId="40" applyFont="1" applyFill="1" applyBorder="1" applyAlignment="1" applyProtection="1">
      <alignment horizontal="left" vertical="center" wrapText="1"/>
      <protection hidden="1"/>
    </xf>
    <xf numFmtId="0" fontId="2" fillId="9" borderId="2" xfId="40" applyFont="1" applyFill="1" applyBorder="1" applyAlignment="1" applyProtection="1">
      <alignment horizontal="left" vertical="center" wrapText="1"/>
      <protection hidden="1"/>
    </xf>
    <xf numFmtId="165" fontId="2" fillId="9" borderId="12" xfId="40" applyNumberFormat="1" applyFont="1" applyFill="1" applyBorder="1" applyAlignment="1" applyProtection="1">
      <alignment horizontal="left" wrapText="1"/>
      <protection hidden="1"/>
    </xf>
    <xf numFmtId="165" fontId="2" fillId="9" borderId="3" xfId="40" applyNumberFormat="1" applyFont="1" applyFill="1" applyBorder="1" applyAlignment="1" applyProtection="1">
      <alignment horizontal="left" wrapText="1"/>
      <protection hidden="1"/>
    </xf>
    <xf numFmtId="165" fontId="2" fillId="9" borderId="2" xfId="40" applyNumberFormat="1" applyFont="1" applyFill="1" applyBorder="1" applyAlignment="1" applyProtection="1">
      <alignment horizontal="left" wrapText="1"/>
      <protection hidden="1"/>
    </xf>
    <xf numFmtId="0" fontId="30" fillId="8" borderId="23" xfId="40" applyFont="1" applyFill="1" applyBorder="1" applyAlignment="1" applyProtection="1">
      <alignment horizontal="left" wrapText="1"/>
      <protection hidden="1"/>
    </xf>
    <xf numFmtId="0" fontId="29" fillId="8" borderId="24" xfId="40" applyFont="1" applyFill="1" applyBorder="1" applyAlignment="1">
      <alignment wrapText="1"/>
    </xf>
    <xf numFmtId="0" fontId="31" fillId="8" borderId="23" xfId="40" applyFont="1" applyFill="1" applyBorder="1" applyAlignment="1" applyProtection="1">
      <alignment horizontal="left" wrapText="1" readingOrder="1"/>
      <protection hidden="1"/>
    </xf>
    <xf numFmtId="0" fontId="31" fillId="8" borderId="24" xfId="40" applyFont="1" applyFill="1" applyBorder="1" applyAlignment="1" applyProtection="1">
      <alignment horizontal="left" wrapText="1" readingOrder="1"/>
      <protection hidden="1"/>
    </xf>
    <xf numFmtId="0" fontId="31" fillId="8" borderId="11" xfId="40" applyFont="1" applyFill="1" applyBorder="1" applyAlignment="1" applyProtection="1">
      <alignment horizontal="left" wrapText="1" readingOrder="1"/>
      <protection hidden="1"/>
    </xf>
    <xf numFmtId="0" fontId="2" fillId="9" borderId="6" xfId="40" applyFont="1" applyFill="1" applyBorder="1" applyAlignment="1" applyProtection="1">
      <alignment horizontal="left" wrapText="1"/>
      <protection hidden="1"/>
    </xf>
    <xf numFmtId="0" fontId="2" fillId="9" borderId="5" xfId="40" applyFont="1" applyFill="1" applyBorder="1" applyAlignment="1" applyProtection="1">
      <alignment horizontal="left" wrapText="1"/>
      <protection hidden="1"/>
    </xf>
    <xf numFmtId="0" fontId="34" fillId="2" borderId="27" xfId="0" applyFont="1" applyFill="1" applyBorder="1" applyAlignment="1">
      <alignment wrapText="1"/>
    </xf>
    <xf numFmtId="0" fontId="34" fillId="2" borderId="28" xfId="0" applyFont="1" applyFill="1" applyBorder="1" applyAlignment="1">
      <alignment wrapText="1"/>
    </xf>
    <xf numFmtId="0" fontId="34" fillId="2" borderId="40" xfId="0" applyFont="1" applyFill="1" applyBorder="1" applyAlignment="1">
      <alignment wrapText="1"/>
    </xf>
    <xf numFmtId="0" fontId="34" fillId="2" borderId="42" xfId="0" applyFont="1" applyFill="1" applyBorder="1" applyAlignment="1">
      <alignment wrapText="1"/>
    </xf>
    <xf numFmtId="0" fontId="34" fillId="2" borderId="41" xfId="0" applyFont="1" applyFill="1" applyBorder="1" applyAlignment="1">
      <alignment wrapText="1"/>
    </xf>
    <xf numFmtId="0" fontId="34" fillId="2" borderId="43" xfId="0" applyFont="1" applyFill="1" applyBorder="1" applyAlignment="1">
      <alignment wrapText="1"/>
    </xf>
    <xf numFmtId="0" fontId="37" fillId="8" borderId="12" xfId="40" applyFont="1" applyFill="1" applyBorder="1" applyAlignment="1" applyProtection="1">
      <alignment horizontal="left" wrapText="1"/>
      <protection hidden="1"/>
    </xf>
    <xf numFmtId="0" fontId="40" fillId="8" borderId="3" xfId="40" applyFont="1" applyFill="1" applyBorder="1" applyAlignment="1">
      <alignment wrapText="1"/>
    </xf>
    <xf numFmtId="0" fontId="37" fillId="8" borderId="3" xfId="40" applyFont="1" applyFill="1" applyBorder="1" applyAlignment="1" applyProtection="1">
      <alignment wrapText="1"/>
      <protection hidden="1"/>
    </xf>
    <xf numFmtId="0" fontId="38" fillId="9" borderId="12" xfId="40" applyFont="1" applyFill="1" applyBorder="1" applyAlignment="1" applyProtection="1">
      <alignment horizontal="left" wrapText="1"/>
      <protection hidden="1"/>
    </xf>
    <xf numFmtId="0" fontId="39" fillId="9" borderId="3" xfId="40" applyFont="1" applyFill="1" applyBorder="1" applyAlignment="1">
      <alignment horizontal="left" wrapText="1"/>
    </xf>
    <xf numFmtId="0" fontId="39" fillId="9" borderId="2" xfId="40" applyFont="1" applyFill="1" applyBorder="1" applyAlignment="1">
      <alignment horizontal="left" wrapText="1"/>
    </xf>
    <xf numFmtId="0" fontId="37" fillId="8" borderId="12" xfId="0" applyFont="1" applyFill="1" applyBorder="1" applyAlignment="1" applyProtection="1">
      <alignment horizontal="left" wrapText="1"/>
      <protection hidden="1"/>
    </xf>
    <xf numFmtId="0" fontId="40" fillId="8" borderId="3" xfId="0" applyFont="1" applyFill="1" applyBorder="1" applyAlignment="1">
      <alignment horizontal="left" wrapText="1"/>
    </xf>
    <xf numFmtId="0" fontId="40" fillId="8" borderId="2" xfId="0" applyFont="1" applyFill="1" applyBorder="1" applyAlignment="1">
      <alignment horizontal="left" wrapText="1"/>
    </xf>
    <xf numFmtId="0" fontId="38" fillId="9" borderId="12" xfId="0" applyFont="1" applyFill="1" applyBorder="1" applyAlignment="1" applyProtection="1">
      <alignment horizontal="left" wrapText="1"/>
      <protection hidden="1"/>
    </xf>
    <xf numFmtId="0" fontId="39" fillId="9" borderId="3" xfId="0" applyFont="1" applyFill="1" applyBorder="1" applyAlignment="1">
      <alignment horizontal="left" wrapText="1"/>
    </xf>
    <xf numFmtId="0" fontId="37" fillId="8" borderId="12" xfId="40" applyFont="1" applyFill="1" applyBorder="1" applyAlignment="1" applyProtection="1">
      <alignment horizontal="left" wrapText="1" readingOrder="1"/>
      <protection hidden="1"/>
    </xf>
    <xf numFmtId="0" fontId="37" fillId="8" borderId="3" xfId="40" applyFont="1" applyFill="1" applyBorder="1" applyAlignment="1" applyProtection="1">
      <alignment horizontal="left" wrapText="1" readingOrder="1"/>
      <protection hidden="1"/>
    </xf>
    <xf numFmtId="0" fontId="37" fillId="8" borderId="2" xfId="40" applyFont="1" applyFill="1" applyBorder="1" applyAlignment="1" applyProtection="1">
      <alignment horizontal="left" wrapText="1" readingOrder="1"/>
      <protection hidden="1"/>
    </xf>
    <xf numFmtId="0" fontId="38" fillId="9" borderId="3" xfId="40" applyFont="1" applyFill="1" applyBorder="1" applyAlignment="1" applyProtection="1">
      <alignment horizontal="left" wrapText="1"/>
      <protection hidden="1"/>
    </xf>
    <xf numFmtId="0" fontId="38" fillId="9" borderId="2" xfId="40" applyFont="1" applyFill="1" applyBorder="1" applyAlignment="1" applyProtection="1">
      <alignment horizontal="left" wrapText="1"/>
      <protection hidden="1"/>
    </xf>
    <xf numFmtId="165" fontId="38" fillId="9" borderId="12" xfId="40" applyNumberFormat="1" applyFont="1" applyFill="1" applyBorder="1" applyAlignment="1" applyProtection="1">
      <alignment horizontal="left" wrapText="1"/>
      <protection hidden="1"/>
    </xf>
    <xf numFmtId="165" fontId="38" fillId="9" borderId="3" xfId="40" applyNumberFormat="1" applyFont="1" applyFill="1" applyBorder="1" applyAlignment="1" applyProtection="1">
      <alignment horizontal="left" wrapText="1"/>
      <protection hidden="1"/>
    </xf>
    <xf numFmtId="165" fontId="38" fillId="9" borderId="2" xfId="40" applyNumberFormat="1" applyFont="1" applyFill="1" applyBorder="1" applyAlignment="1" applyProtection="1">
      <alignment horizontal="left" wrapText="1"/>
      <protection hidden="1"/>
    </xf>
    <xf numFmtId="0" fontId="38" fillId="9" borderId="3" xfId="0" applyFont="1" applyFill="1" applyBorder="1" applyAlignment="1" applyProtection="1">
      <alignment horizontal="left" wrapText="1"/>
      <protection hidden="1"/>
    </xf>
    <xf numFmtId="0" fontId="38" fillId="8" borderId="12" xfId="40" applyFont="1" applyFill="1" applyBorder="1" applyAlignment="1" applyProtection="1">
      <alignment horizontal="left" wrapText="1" readingOrder="1"/>
      <protection hidden="1"/>
    </xf>
    <xf numFmtId="0" fontId="38" fillId="8" borderId="3" xfId="40" applyFont="1" applyFill="1" applyBorder="1" applyAlignment="1" applyProtection="1">
      <alignment horizontal="left" wrapText="1" readingOrder="1"/>
      <protection hidden="1"/>
    </xf>
    <xf numFmtId="0" fontId="38" fillId="8" borderId="2" xfId="40" applyFont="1" applyFill="1" applyBorder="1" applyAlignment="1" applyProtection="1">
      <alignment horizontal="left" wrapText="1" readingOrder="1"/>
      <protection hidden="1"/>
    </xf>
    <xf numFmtId="0" fontId="39" fillId="0" borderId="23" xfId="0" applyFont="1" applyBorder="1" applyAlignment="1" applyProtection="1">
      <alignment horizontal="left" vertical="center"/>
      <protection hidden="1"/>
    </xf>
    <xf numFmtId="0" fontId="39" fillId="0" borderId="24" xfId="0" applyFont="1" applyBorder="1" applyAlignment="1" applyProtection="1">
      <alignment horizontal="left" vertical="center"/>
      <protection hidden="1"/>
    </xf>
    <xf numFmtId="0" fontId="39" fillId="0" borderId="11" xfId="0" applyFont="1" applyBorder="1" applyAlignment="1" applyProtection="1">
      <alignment horizontal="left" vertical="center"/>
      <protection hidden="1"/>
    </xf>
    <xf numFmtId="0" fontId="39" fillId="0" borderId="25" xfId="0" applyFont="1" applyBorder="1" applyAlignment="1" applyProtection="1">
      <alignment horizontal="left" vertical="center"/>
      <protection hidden="1"/>
    </xf>
    <xf numFmtId="0" fontId="39" fillId="0" borderId="0" xfId="0" applyFont="1" applyAlignment="1" applyProtection="1">
      <alignment horizontal="left" vertical="center"/>
      <protection hidden="1"/>
    </xf>
    <xf numFmtId="0" fontId="39" fillId="0" borderId="10" xfId="0" applyFont="1" applyBorder="1" applyAlignment="1" applyProtection="1">
      <alignment horizontal="left" vertical="center"/>
      <protection hidden="1"/>
    </xf>
    <xf numFmtId="0" fontId="39" fillId="0" borderId="6" xfId="0" applyFont="1" applyBorder="1" applyAlignment="1" applyProtection="1">
      <alignment horizontal="left" vertical="center"/>
      <protection hidden="1"/>
    </xf>
    <xf numFmtId="0" fontId="39" fillId="0" borderId="5" xfId="0" applyFont="1" applyBorder="1" applyAlignment="1" applyProtection="1">
      <alignment horizontal="left" vertical="center"/>
      <protection hidden="1"/>
    </xf>
    <xf numFmtId="0" fontId="39" fillId="0" borderId="1" xfId="0" applyFont="1" applyBorder="1" applyAlignment="1" applyProtection="1">
      <alignment horizontal="left" vertical="center"/>
      <protection hidden="1"/>
    </xf>
    <xf numFmtId="0" fontId="40" fillId="8" borderId="3" xfId="40" applyFont="1" applyFill="1" applyBorder="1" applyAlignment="1">
      <alignment horizontal="left" wrapText="1"/>
    </xf>
    <xf numFmtId="0" fontId="40" fillId="8" borderId="2" xfId="40" applyFont="1" applyFill="1" applyBorder="1" applyAlignment="1">
      <alignment horizontal="left" wrapText="1"/>
    </xf>
    <xf numFmtId="0" fontId="0" fillId="10" borderId="23" xfId="0" applyFill="1" applyBorder="1" applyAlignment="1">
      <alignment horizontal="center"/>
    </xf>
    <xf numFmtId="0" fontId="0" fillId="10" borderId="24" xfId="0" applyFill="1" applyBorder="1" applyAlignment="1">
      <alignment horizontal="center"/>
    </xf>
    <xf numFmtId="0" fontId="0" fillId="10" borderId="11" xfId="0" applyFill="1" applyBorder="1" applyAlignment="1">
      <alignment horizontal="center"/>
    </xf>
    <xf numFmtId="0" fontId="3" fillId="10" borderId="23" xfId="0" applyFont="1" applyFill="1" applyBorder="1" applyAlignment="1">
      <alignment horizontal="center"/>
    </xf>
  </cellXfs>
  <cellStyles count="128">
    <cellStyle name="Comma" xfId="1" builtinId="3"/>
    <cellStyle name="Comma 2" xfId="2" xr:uid="{05C91C57-2CF7-4BBA-9CD6-09FC80F45457}"/>
    <cellStyle name="Comma 2 2" xfId="3" xr:uid="{0C2BE0FB-A124-42AB-965E-6A908A100012}"/>
    <cellStyle name="Comma 2 3" xfId="4" xr:uid="{37F00226-A1F8-4A8A-A3BD-F43CC03AA43D}"/>
    <cellStyle name="Comma 2 4" xfId="5" xr:uid="{A6C25B4B-15D5-431B-BF10-2960448BF1E6}"/>
    <cellStyle name="Comma 3" xfId="6" xr:uid="{A187D853-743B-4335-A05E-492F56D538F8}"/>
    <cellStyle name="Comma 3 2" xfId="7" xr:uid="{445AB72A-4D17-4968-809A-A58B44B39B22}"/>
    <cellStyle name="Comma 3 3" xfId="8" xr:uid="{50D1073C-AF92-41F7-A3D4-E72CBD986AFF}"/>
    <cellStyle name="Comma 3 3 2" xfId="9" xr:uid="{BDE65D24-E65A-4FDB-9220-4351C42D4653}"/>
    <cellStyle name="Comma 3 3 2 2" xfId="10" xr:uid="{D43F30FD-43C5-44C1-A26C-402C0EF3674A}"/>
    <cellStyle name="Comma 3 3 2 3" xfId="11" xr:uid="{826CE176-50D2-4B2D-9E3C-A0069B473B31}"/>
    <cellStyle name="Comma 3 4" xfId="12" xr:uid="{35D32580-6336-48A8-8C27-4E4D4232F7E8}"/>
    <cellStyle name="Comma 4" xfId="13" xr:uid="{953A0CED-CA3E-42DB-AA32-20AC89AD55D9}"/>
    <cellStyle name="Comma 4 2" xfId="14" xr:uid="{2AF1A0BA-54E8-4A5B-82CE-2D2FC6929258}"/>
    <cellStyle name="Comma 4 2 2" xfId="15" xr:uid="{1A799D5E-CCB7-4C5C-9E27-F7498B03CE58}"/>
    <cellStyle name="Comma 4 2 3" xfId="16" xr:uid="{556F8E33-BEEC-43D6-ADBC-4D6FFB8E4CA2}"/>
    <cellStyle name="Comma 5" xfId="17" xr:uid="{5CAA56EC-AFD9-40D2-824F-6CCDE197AC6E}"/>
    <cellStyle name="Comma 5 2" xfId="18" xr:uid="{D6D37193-B11E-4684-87E9-212C3004414C}"/>
    <cellStyle name="Comma 5 3" xfId="19" xr:uid="{B0A0B53A-0295-4009-AA90-11E4E8E993B2}"/>
    <cellStyle name="Comma 5 3 2" xfId="20" xr:uid="{FA8DDEE7-5D42-4A10-B088-A8C205AEFB0A}"/>
    <cellStyle name="Comma 6" xfId="21" xr:uid="{C02139AA-2035-49CE-B195-BD15938A41F0}"/>
    <cellStyle name="Comma 6 2" xfId="22" xr:uid="{C750BBC7-599A-4E3F-9871-F9AE02FE257A}"/>
    <cellStyle name="Comma 6 3" xfId="23" xr:uid="{6DEFDA91-2271-4D92-A3FC-284FA4C56E3E}"/>
    <cellStyle name="Comma 6 3 2" xfId="24" xr:uid="{1D6C98FB-D253-46D1-BA54-04916C35F389}"/>
    <cellStyle name="Comma 6 3 3" xfId="25" xr:uid="{2F885A7C-C177-4402-8EBE-19AD2C111171}"/>
    <cellStyle name="Comma 7" xfId="26" xr:uid="{42FA1231-6FDF-43D6-BC7F-EF7EEFC62E78}"/>
    <cellStyle name="Comma 7 2" xfId="27" xr:uid="{21323D40-24E4-41E5-9C4F-A9C2E2137A2E}"/>
    <cellStyle name="Comma 7 3" xfId="28" xr:uid="{F71195D6-1A06-4BC0-9F16-0822A658A323}"/>
    <cellStyle name="Comma 7 4" xfId="29" xr:uid="{1DDD8BFA-61D6-48F4-A2D3-4AA0B4FACBB5}"/>
    <cellStyle name="Comma 7 5" xfId="30" xr:uid="{E499E560-DD61-4FB8-9553-4A1AEB3DFD8E}"/>
    <cellStyle name="Currency 2" xfId="31" xr:uid="{09BF21D3-81E9-49D5-BFA9-CCFC16DBF1D0}"/>
    <cellStyle name="Currency 3" xfId="32" xr:uid="{A84C7C5E-E315-4230-8930-72DA7F833517}"/>
    <cellStyle name="Currency 3 2" xfId="33" xr:uid="{364C0679-5B13-4D98-B16C-F5AD373B8BFE}"/>
    <cellStyle name="Currency 3 3" xfId="34" xr:uid="{7DB587D2-0C0F-45A5-AC3B-A521004AEA35}"/>
    <cellStyle name="Hyperlink 2" xfId="35" xr:uid="{218776DA-E9F4-4D64-8BE2-2CEFCDC3C2BA}"/>
    <cellStyle name="Hyperlink 2 2" xfId="36" xr:uid="{181EF084-19C6-4EE5-9B54-64E5E5F807B3}"/>
    <cellStyle name="Hyperlink 2 3" xfId="37" xr:uid="{CDFAAC85-F6A7-49DE-B3C2-3DF0CB93EBD5}"/>
    <cellStyle name="Hyperlink 3" xfId="38" xr:uid="{85B795A0-DB34-429E-A3E8-48C459881988}"/>
    <cellStyle name="Hyperlink 3 2" xfId="39" xr:uid="{F1A2FF2C-0CA6-4EE5-A029-3F1399313787}"/>
    <cellStyle name="Normal" xfId="0" builtinId="0"/>
    <cellStyle name="Normal 2" xfId="40" xr:uid="{C1FEE4A6-ED69-4233-9EFD-7B84896B5FD1}"/>
    <cellStyle name="Normal 2 2" xfId="41" xr:uid="{A2422B7F-7650-4736-91C4-344522FA1EEA}"/>
    <cellStyle name="Normal 2 2 2" xfId="42" xr:uid="{CC7B1512-7DB2-47BB-BD23-CED3C2068A89}"/>
    <cellStyle name="Normal 2 2 2 2" xfId="43" xr:uid="{E9EE186C-CDD5-485B-B878-00A004798649}"/>
    <cellStyle name="Normal 2 2 2 3" xfId="44" xr:uid="{1D9BA287-E88A-48E4-A0AA-9BB99B8544B0}"/>
    <cellStyle name="Normal 2 2 3" xfId="45" xr:uid="{90C30F12-3228-4728-9294-40C250D9B405}"/>
    <cellStyle name="Normal 2 2 4" xfId="46" xr:uid="{89685DFE-E5D4-4D8F-9638-E4F12C12EE4D}"/>
    <cellStyle name="Normal 2 2 5" xfId="47" xr:uid="{66BB0E8B-C482-49EE-9366-89AAA77610EA}"/>
    <cellStyle name="Normal 2 3" xfId="48" xr:uid="{70EFBE28-C9B5-4906-833D-41059D58A218}"/>
    <cellStyle name="Normal 2 3 2" xfId="49" xr:uid="{B1272E48-9EE2-4D64-BEA2-325D2DC613AB}"/>
    <cellStyle name="Normal 2 3 3" xfId="50" xr:uid="{72A420A4-202C-420E-8670-9DA1CDC29FE6}"/>
    <cellStyle name="Normal 2 4" xfId="51" xr:uid="{6733E3AF-EBA0-4104-8F64-681768AE7905}"/>
    <cellStyle name="Normal 2 5" xfId="52" xr:uid="{2CC1473B-4B79-4542-B4D3-65CAA9918A4F}"/>
    <cellStyle name="Normal 2 6" xfId="53" xr:uid="{F559FC55-49F8-4F85-865B-370143F16A17}"/>
    <cellStyle name="Normal 3" xfId="54" xr:uid="{E49E6427-43B8-4572-84F2-12ED8FB465BC}"/>
    <cellStyle name="Normal 3 2" xfId="55" xr:uid="{A661297E-1E73-41CF-99AC-74CFD349DC5F}"/>
    <cellStyle name="Normal 3 2 2" xfId="56" xr:uid="{7CCC1024-79D3-46B1-B2A9-3536D764D4E1}"/>
    <cellStyle name="Normal 3 2 3" xfId="57" xr:uid="{6052C644-10CF-4D01-887E-D75980E7577F}"/>
    <cellStyle name="Normal 3 2 4" xfId="58" xr:uid="{90FEF4E0-5D4D-44CC-9EAC-2CEE4064D55F}"/>
    <cellStyle name="Normal 3 2 4 2" xfId="59" xr:uid="{E4AF875C-20A9-40D1-8A6B-28268992D483}"/>
    <cellStyle name="Normal 3 2 4 3" xfId="60" xr:uid="{B2DF1791-515F-4CCB-B4E2-410AFE7CD382}"/>
    <cellStyle name="Normal 3 2 5" xfId="61" xr:uid="{2A9C1C93-4FA9-43F9-A202-7E348ADC1774}"/>
    <cellStyle name="Normal 3 3" xfId="62" xr:uid="{F695F2CA-8BCC-4302-A03A-E9622129B7D5}"/>
    <cellStyle name="Normal 3 4" xfId="63" xr:uid="{AA4BD5B2-C83C-4029-9358-B7767B171B60}"/>
    <cellStyle name="Normal 3 5" xfId="64" xr:uid="{FA423E37-A2E4-4F40-9DE6-B29D5D0B7C32}"/>
    <cellStyle name="Normal 4" xfId="65" xr:uid="{21D42A77-D44A-4484-920C-2734D71193E6}"/>
    <cellStyle name="Normal 4 2" xfId="66" xr:uid="{9107F5A9-C0FE-400D-8044-2AFEC0AA48D5}"/>
    <cellStyle name="Normal 4 2 2" xfId="67" xr:uid="{3EAF8D52-B85A-4EBE-B6A8-4E1BC39517CA}"/>
    <cellStyle name="Normal 4 2 3" xfId="68" xr:uid="{0E31EB36-990C-406F-9561-23B116732262}"/>
    <cellStyle name="Normal 4 3" xfId="69" xr:uid="{48EF82B7-D4BE-46CA-8126-64E8C5433BB2}"/>
    <cellStyle name="Normal 5" xfId="70" xr:uid="{AFE13737-59A4-4506-ACB0-B901C949DD55}"/>
    <cellStyle name="Normal 5 2" xfId="71" xr:uid="{76F6125E-ADEF-4D54-B61A-F76CDBE9D723}"/>
    <cellStyle name="Normal 5 3" xfId="72" xr:uid="{1480899C-BA54-4B9E-9500-8BCEF93F0022}"/>
    <cellStyle name="Normal 5 4" xfId="73" xr:uid="{90291347-7C1D-430C-B5DB-C1203FD17FB0}"/>
    <cellStyle name="Normal 6" xfId="74" xr:uid="{F41522B2-E275-4515-A689-779B3149EC87}"/>
    <cellStyle name="Normal 6 2" xfId="75" xr:uid="{2BC72127-3AA7-4E92-B5E7-7B7DD6739D20}"/>
    <cellStyle name="Normal 6 3" xfId="76" xr:uid="{42357003-C94F-4A62-A7E2-869AB88B6D36}"/>
    <cellStyle name="Normal 6 3 2" xfId="77" xr:uid="{BD28865C-E4E6-4B23-9E04-F66B7BDA6324}"/>
    <cellStyle name="Normal 6 3 3" xfId="78" xr:uid="{529D2C40-1DB1-46BC-8085-7294A687172C}"/>
    <cellStyle name="Normal 7" xfId="79" xr:uid="{38B6222E-E72D-4BAE-BFEF-A1688C63862C}"/>
    <cellStyle name="Normal 7 2" xfId="80" xr:uid="{511E1CD3-AA1F-487D-A857-D6E0F9C6CD16}"/>
    <cellStyle name="Normal 8" xfId="81" xr:uid="{E1BEBAC4-AAFC-4260-B830-92775BB0549A}"/>
    <cellStyle name="Normal 9" xfId="82" xr:uid="{77612D58-824B-4999-96F3-F359CFDF2C68}"/>
    <cellStyle name="Normal 9 2" xfId="83" xr:uid="{95A2F619-63EB-43D3-B7C0-0ED73ECF5E24}"/>
    <cellStyle name="Normal 9 3" xfId="84" xr:uid="{EDF9BF60-B0C0-4ADA-A41A-D618CC9AB00D}"/>
    <cellStyle name="Per cent" xfId="85" builtinId="5"/>
    <cellStyle name="Percent 10" xfId="86" xr:uid="{F6D8FFAB-80B5-419D-A063-ABE03E9FF7A0}"/>
    <cellStyle name="Percent 10 2" xfId="87" xr:uid="{BC9C3CAC-56FB-420B-B390-BE7940864372}"/>
    <cellStyle name="Percent 10 3" xfId="88" xr:uid="{FC21CC14-7C1D-42FC-AB91-A956218393DE}"/>
    <cellStyle name="Percent 10 4" xfId="89" xr:uid="{3C8B1E2B-7695-4926-8851-F4F463E724A6}"/>
    <cellStyle name="Percent 2" xfId="90" xr:uid="{7E3F0F1C-A591-450E-A851-9520AF78C0C4}"/>
    <cellStyle name="Percent 2 2" xfId="91" xr:uid="{7D4409A8-8BA0-4751-8FD0-467F2C1C20CF}"/>
    <cellStyle name="Percent 2 3" xfId="92" xr:uid="{B4D91B1C-A3B4-4446-B8DA-4100378B3091}"/>
    <cellStyle name="Percent 2 3 2" xfId="93" xr:uid="{19C96ECB-7ACC-42F9-BBBD-44109597B464}"/>
    <cellStyle name="Percent 2 3 3" xfId="94" xr:uid="{DEE74E89-11EF-4C5A-84A6-90F3E9472220}"/>
    <cellStyle name="Percent 2 3 4" xfId="95" xr:uid="{130068C4-1BCD-4204-A960-A48F5B823B94}"/>
    <cellStyle name="Percent 2 4" xfId="96" xr:uid="{D79C55E6-8559-418C-B0A1-D2F134AFFB34}"/>
    <cellStyle name="Percent 2 5" xfId="97" xr:uid="{D6A5986B-FD24-4C42-89B9-0492B8DF612B}"/>
    <cellStyle name="Percent 2 5 2" xfId="98" xr:uid="{7FD9722D-A69C-4643-A71C-7BBFBCBB20B5}"/>
    <cellStyle name="Percent 2 5 3" xfId="99" xr:uid="{7BEF2780-7AE6-4F87-A0EF-83E85495DE2E}"/>
    <cellStyle name="Percent 3" xfId="100" xr:uid="{342D0F5D-4168-4EB8-9FD3-D236BE80E9FC}"/>
    <cellStyle name="Percent 3 2" xfId="101" xr:uid="{7C770F8F-73D6-4CD5-8756-705325220C15}"/>
    <cellStyle name="Percent 4" xfId="102" xr:uid="{5957A71D-424C-413F-95E6-89C940EC1F42}"/>
    <cellStyle name="Percent 4 2" xfId="103" xr:uid="{03AE4A73-DA04-421A-9AD6-C58160E8E798}"/>
    <cellStyle name="Percent 5" xfId="104" xr:uid="{C86C38E6-1D50-40B1-B69C-B4AC50307D46}"/>
    <cellStyle name="Percent 5 2" xfId="105" xr:uid="{5C081A39-06BC-4E4B-B081-08F68FAB5596}"/>
    <cellStyle name="Percent 5 2 2" xfId="106" xr:uid="{B3FAAC1F-FB6B-4E18-9E35-633D3381D917}"/>
    <cellStyle name="Percent 5 2 3" xfId="107" xr:uid="{E5AEF01D-8A9F-4358-A9C0-91FB17E78687}"/>
    <cellStyle name="Percent 5 2 3 2" xfId="108" xr:uid="{98564F20-30C6-4B3B-91FF-5DE4DB27BAA3}"/>
    <cellStyle name="Percent 5 3" xfId="109" xr:uid="{27433799-EF61-47EB-A9BA-F0C5D3364474}"/>
    <cellStyle name="Percent 5 3 2" xfId="110" xr:uid="{73A90DD9-DA30-4273-AB2C-EA053BA1F192}"/>
    <cellStyle name="Percent 6" xfId="111" xr:uid="{0EFC149C-599F-4D04-B9C5-9296C69E9BAB}"/>
    <cellStyle name="Percent 6 2" xfId="112" xr:uid="{802E97E0-6C5A-4B6F-9580-8C407686C006}"/>
    <cellStyle name="Percent 6 3" xfId="113" xr:uid="{982436FD-3196-4154-AFE3-4B415FD6FBFE}"/>
    <cellStyle name="Percent 6 3 2" xfId="114" xr:uid="{8EC7F673-48AA-46F2-AE15-0CC1560F7041}"/>
    <cellStyle name="Percent 6 3 3" xfId="115" xr:uid="{5DF6D86A-543D-49A7-8883-7686FA4A6986}"/>
    <cellStyle name="Percent 7" xfId="116" xr:uid="{A94F7AA6-247E-4AB6-AEF6-D647BECDB597}"/>
    <cellStyle name="Percent 7 2" xfId="117" xr:uid="{AE836EA4-4DCD-42F8-839D-02F8949AB501}"/>
    <cellStyle name="Percent 7 3" xfId="118" xr:uid="{A8E2840F-AF63-4730-9BA4-AA40544F16B5}"/>
    <cellStyle name="Percent 7 4" xfId="119" xr:uid="{66EC3B84-6766-4625-8247-4A034E867452}"/>
    <cellStyle name="Percent 7 4 2" xfId="120" xr:uid="{2F1AD343-7DD8-4736-A28B-B24639358598}"/>
    <cellStyle name="Percent 7 5" xfId="121" xr:uid="{1CE99C88-185B-4D64-A174-8FD2E37029DF}"/>
    <cellStyle name="Percent 7 5 2" xfId="122" xr:uid="{14CB82E8-C185-4B28-84F8-BC9AA6AC2F84}"/>
    <cellStyle name="Percent 8" xfId="123" xr:uid="{B6C3E9B9-4602-43C0-A162-F8687BA7FBA3}"/>
    <cellStyle name="Percent 8 2" xfId="124" xr:uid="{0A29CCC4-8208-44E4-A912-726F09E1B139}"/>
    <cellStyle name="Percent 8 3" xfId="125" xr:uid="{E07533C1-3355-4E0B-A541-8A7BF83700D0}"/>
    <cellStyle name="Percent 8 3 2" xfId="126" xr:uid="{C28519F2-2FCB-4892-98DF-3E726C7AF9C9}"/>
    <cellStyle name="Percent 9" xfId="127" xr:uid="{71B5978D-4BF6-47DC-9353-19C0012E0084}"/>
  </cellStyles>
  <dxfs count="32">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1" defaultTableStyle="TableStyleMedium9" defaultPivotStyle="PivotStyleLight16">
    <tableStyle name="Invisible" pivot="0" table="0" count="0" xr9:uid="{1EFC332C-B9AC-4057-997A-F3451D78AA4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ZA"/>
              <a:t>Margin Comparison / Marge Vergelyking: Northwest Province (R/ha)</a:t>
            </a:r>
          </a:p>
        </c:rich>
      </c:tx>
      <c:overlay val="0"/>
      <c:spPr>
        <a:noFill/>
        <a:ln w="25400">
          <a:noFill/>
        </a:ln>
      </c:spPr>
    </c:title>
    <c:autoTitleDeleted val="0"/>
    <c:plotArea>
      <c:layout>
        <c:manualLayout>
          <c:layoutTarget val="inner"/>
          <c:xMode val="edge"/>
          <c:yMode val="edge"/>
          <c:x val="9.1684773470523617E-2"/>
          <c:y val="0.10547073068791292"/>
          <c:w val="0.88865829778230199"/>
          <c:h val="0.74897245939264867"/>
        </c:manualLayout>
      </c:layout>
      <c:barChart>
        <c:barDir val="col"/>
        <c:grouping val="clustered"/>
        <c:varyColors val="0"/>
        <c:ser>
          <c:idx val="0"/>
          <c:order val="0"/>
          <c:tx>
            <c:strRef>
              <c:f>'Crop Comparison'!$A$34</c:f>
              <c:strCache>
                <c:ptCount val="1"/>
                <c:pt idx="0">
                  <c:v>3) GROSS MARGIN  (R/ha)</c:v>
                </c:pt>
              </c:strCache>
            </c:strRef>
          </c:tx>
          <c:spPr>
            <a:solidFill>
              <a:schemeClr val="bg1"/>
            </a:solidFill>
            <a:ln w="25400">
              <a:solidFill>
                <a:schemeClr val="accent1"/>
              </a:solidFill>
            </a:ln>
            <a:effectLst/>
          </c:spPr>
          <c:invertIfNegative val="0"/>
          <c:dLbls>
            <c:spPr>
              <a:noFill/>
              <a:ln w="9525" cap="flat" cmpd="sng" algn="ctr">
                <a:solidFill>
                  <a:schemeClr val="accent1">
                    <a:shade val="95000"/>
                    <a:satMod val="105000"/>
                  </a:schemeClr>
                </a:solidFill>
                <a:prstDash val="solid"/>
              </a:ln>
              <a:effectLst>
                <a:outerShdw blurRad="40000" dist="20000" dir="5400000" rotWithShape="0">
                  <a:srgbClr val="000000">
                    <a:alpha val="38000"/>
                  </a:srgbClr>
                </a:outerShdw>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'Crop Comparison'!$B$2:$H$2</c15:sqref>
                  </c15:fullRef>
                </c:ext>
              </c:extLst>
              <c:f>('Crop Comparison'!$B$2:$F$2,'Crop Comparison'!$H$2)</c:f>
              <c:strCache>
                <c:ptCount val="6"/>
                <c:pt idx="0">
                  <c:v>Maize (Conventional)</c:v>
                </c:pt>
                <c:pt idx="1">
                  <c:v>Maize (Bt)</c:v>
                </c:pt>
                <c:pt idx="2">
                  <c:v>Sunflower</c:v>
                </c:pt>
                <c:pt idx="3">
                  <c:v>Soybean</c:v>
                </c:pt>
                <c:pt idx="4">
                  <c:v>Grain Sorghum</c:v>
                </c:pt>
                <c:pt idx="5">
                  <c:v>Irr-Maize</c:v>
                </c:pt>
              </c:strCache>
            </c:strRef>
          </c:cat>
          <c:val>
            <c:numRef>
              <c:extLst>
                <c:ext xmlns:c15="http://schemas.microsoft.com/office/drawing/2012/chart" uri="{02D57815-91ED-43cb-92C2-25804820EDAC}">
                  <c15:fullRef>
                    <c15:sqref>'Crop Comparison'!$B$34:$H$34</c15:sqref>
                  </c15:fullRef>
                </c:ext>
              </c:extLst>
              <c:f>('Crop Comparison'!$B$34:$F$34,'Crop Comparison'!$H$34)</c:f>
              <c:numCache>
                <c:formatCode>_-"R"* #\ ##0_-;\-"R"* #\ ##0_-;_-"R"* "-"??_-;_-@_-</c:formatCode>
                <c:ptCount val="6"/>
                <c:pt idx="0">
                  <c:v>-648.08296632175552</c:v>
                </c:pt>
                <c:pt idx="1">
                  <c:v>-1511.8170224691403</c:v>
                </c:pt>
                <c:pt idx="2">
                  <c:v>3513.8367784050915</c:v>
                </c:pt>
                <c:pt idx="3">
                  <c:v>5128.1014846716862</c:v>
                </c:pt>
                <c:pt idx="4">
                  <c:v>-2594.5212062649989</c:v>
                </c:pt>
                <c:pt idx="5">
                  <c:v>-6623.9721590759291</c:v>
                </c:pt>
              </c:numCache>
            </c:numRef>
          </c:val>
          <c:extLst>
            <c:ext xmlns:c16="http://schemas.microsoft.com/office/drawing/2014/chart" uri="{C3380CC4-5D6E-409C-BE32-E72D297353CC}">
              <c16:uniqueId val="{00000000-B2A5-4DF7-A6A6-C07E7550A3C2}"/>
            </c:ext>
          </c:extLst>
        </c:ser>
        <c:ser>
          <c:idx val="1"/>
          <c:order val="1"/>
          <c:tx>
            <c:strRef>
              <c:f>'Crop Comparison'!$A$35</c:f>
              <c:strCache>
                <c:ptCount val="1"/>
                <c:pt idx="0">
                  <c:v>4) NETT MARGIN  (R/ha)</c:v>
                </c:pt>
              </c:strCache>
            </c:strRef>
          </c:tx>
          <c:spPr>
            <a:noFill/>
            <a:ln w="31750">
              <a:solidFill>
                <a:srgbClr val="FF0000"/>
              </a:solidFill>
            </a:ln>
          </c:spPr>
          <c:invertIfNegative val="0"/>
          <c:dLbls>
            <c:spPr>
              <a:ln>
                <a:solidFill>
                  <a:srgbClr val="FF0000"/>
                </a:solid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'Crop Comparison'!$B$2:$H$2</c15:sqref>
                  </c15:fullRef>
                </c:ext>
              </c:extLst>
              <c:f>('Crop Comparison'!$B$2:$F$2,'Crop Comparison'!$H$2)</c:f>
              <c:strCache>
                <c:ptCount val="6"/>
                <c:pt idx="0">
                  <c:v>Maize (Conventional)</c:v>
                </c:pt>
                <c:pt idx="1">
                  <c:v>Maize (Bt)</c:v>
                </c:pt>
                <c:pt idx="2">
                  <c:v>Sunflower</c:v>
                </c:pt>
                <c:pt idx="3">
                  <c:v>Soybean</c:v>
                </c:pt>
                <c:pt idx="4">
                  <c:v>Grain Sorghum</c:v>
                </c:pt>
                <c:pt idx="5">
                  <c:v>Irr-Maize</c:v>
                </c:pt>
              </c:strCache>
            </c:strRef>
          </c:cat>
          <c:val>
            <c:numRef>
              <c:extLst>
                <c:ext xmlns:c15="http://schemas.microsoft.com/office/drawing/2012/chart" uri="{02D57815-91ED-43cb-92C2-25804820EDAC}">
                  <c15:fullRef>
                    <c15:sqref>'Crop Comparison'!$B$35:$H$35</c15:sqref>
                  </c15:fullRef>
                </c:ext>
              </c:extLst>
              <c:f>('Crop Comparison'!$B$35:$F$35,'Crop Comparison'!$H$35)</c:f>
              <c:numCache>
                <c:formatCode>_-"R"* #\ ##0_-;\-"R"* #\ ##0_-;_-"R"* "-"??_-;_-@_-</c:formatCode>
                <c:ptCount val="6"/>
                <c:pt idx="0">
                  <c:v>-7422.1629663217573</c:v>
                </c:pt>
                <c:pt idx="1">
                  <c:v>-8442.5070224691408</c:v>
                </c:pt>
                <c:pt idx="2">
                  <c:v>-2420.7832215949093</c:v>
                </c:pt>
                <c:pt idx="3">
                  <c:v>-894.23851532831395</c:v>
                </c:pt>
                <c:pt idx="4">
                  <c:v>-9368.6012062649988</c:v>
                </c:pt>
                <c:pt idx="5">
                  <c:v>-14534.662159075931</c:v>
                </c:pt>
              </c:numCache>
            </c:numRef>
          </c:val>
          <c:extLst>
            <c:ext xmlns:c16="http://schemas.microsoft.com/office/drawing/2014/chart" uri="{C3380CC4-5D6E-409C-BE32-E72D297353CC}">
              <c16:uniqueId val="{00000001-B2A5-4DF7-A6A6-C07E7550A3C2}"/>
            </c:ext>
          </c:extLst>
        </c:ser>
        <c:dLbls>
          <c:showLegendKey val="0"/>
          <c:showVal val="0"/>
          <c:showCatName val="0"/>
          <c:showSerName val="0"/>
          <c:showPercent val="0"/>
          <c:showBubbleSize val="0"/>
        </c:dLbls>
        <c:gapWidth val="150"/>
        <c:axId val="1470410224"/>
        <c:axId val="1"/>
      </c:barChart>
      <c:catAx>
        <c:axId val="1470410224"/>
        <c:scaling>
          <c:orientation val="minMax"/>
        </c:scaling>
        <c:delete val="0"/>
        <c:axPos val="b"/>
        <c:numFmt formatCode="General" sourceLinked="1"/>
        <c:majorTickMark val="none"/>
        <c:minorTickMark val="none"/>
        <c:tickLblPos val="nextTo"/>
        <c:spPr>
          <a:ln w="9525">
            <a:noFill/>
          </a:ln>
        </c:spPr>
        <c:txPr>
          <a:bodyPr rot="0" vert="horz"/>
          <a:lstStyle/>
          <a:p>
            <a:pPr>
              <a:defRPr/>
            </a:pPr>
            <a:endParaRPr lang="en-US"/>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quot;R&quot;* #\ ##0_-;\-&quot;R&quot;* #\ ##0_-;_-&quot;R&quot;* &quot;-&quot;??_-;_-@_-" sourceLinked="1"/>
        <c:majorTickMark val="none"/>
        <c:minorTickMark val="none"/>
        <c:tickLblPos val="nextTo"/>
        <c:spPr>
          <a:ln w="9525">
            <a:noFill/>
          </a:ln>
        </c:spPr>
        <c:txPr>
          <a:bodyPr rot="0" vert="horz"/>
          <a:lstStyle/>
          <a:p>
            <a:pPr>
              <a:defRPr/>
            </a:pPr>
            <a:endParaRPr lang="en-US"/>
          </a:p>
        </c:txPr>
        <c:crossAx val="1470410224"/>
        <c:crosses val="autoZero"/>
        <c:crossBetween val="between"/>
      </c:valAx>
      <c:spPr>
        <a:noFill/>
        <a:ln w="25400">
          <a:noFill/>
        </a:ln>
      </c:spPr>
    </c:plotArea>
    <c:legend>
      <c:legendPos val="r"/>
      <c:layout>
        <c:manualLayout>
          <c:xMode val="edge"/>
          <c:yMode val="edge"/>
          <c:x val="5.7549212598425201E-2"/>
          <c:y val="0.89305053973516468"/>
          <c:w val="0.83430511811023622"/>
          <c:h val="8.5892881810826216E-2"/>
        </c:manualLayout>
      </c:layout>
      <c:overlay val="0"/>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ZA"/>
              <a:t>Grondboonwinsgewendheid</a:t>
            </a:r>
          </a:p>
        </c:rich>
      </c:tx>
      <c:overlay val="0"/>
    </c:title>
    <c:autoTitleDeleted val="0"/>
    <c:plotArea>
      <c:layout/>
      <c:doughnutChart>
        <c:varyColors val="1"/>
        <c:ser>
          <c:idx val="0"/>
          <c:order val="0"/>
          <c:tx>
            <c:strRef>
              <c:f>Grafieke!$A$78</c:f>
              <c:strCache>
                <c:ptCount val="1"/>
                <c:pt idx="0">
                  <c:v>Winsgewendheid: Grondbone</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0-5E8A-491E-979E-0A6409A2EBF9}"/>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5E8A-491E-979E-0A6409A2EBF9}"/>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2-5E8A-491E-979E-0A6409A2EBF9}"/>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5E8A-491E-979E-0A6409A2EBF9}"/>
              </c:ext>
            </c:extLst>
          </c:dPt>
          <c:dPt>
            <c:idx val="4"/>
            <c:bubble3D val="0"/>
            <c:spPr>
              <a:noFill/>
              <a:ln w="25400">
                <a:noFill/>
              </a:ln>
            </c:spPr>
            <c:extLst>
              <c:ext xmlns:c16="http://schemas.microsoft.com/office/drawing/2014/chart" uri="{C3380CC4-5D6E-409C-BE32-E72D297353CC}">
                <c16:uniqueId val="{00000004-5E8A-491E-979E-0A6409A2EBF9}"/>
              </c:ext>
            </c:extLst>
          </c:dPt>
          <c:dLbls>
            <c:dLbl>
              <c:idx val="0"/>
              <c:delete val="1"/>
              <c:extLst>
                <c:ext xmlns:c15="http://schemas.microsoft.com/office/drawing/2012/chart" uri="{CE6537A1-D6FC-4f65-9D91-7224C49458BB}"/>
                <c:ext xmlns:c16="http://schemas.microsoft.com/office/drawing/2014/chart" uri="{C3380CC4-5D6E-409C-BE32-E72D297353CC}">
                  <c16:uniqueId val="{00000000-5E8A-491E-979E-0A6409A2EBF9}"/>
                </c:ext>
              </c:extLst>
            </c:dLbl>
            <c:dLbl>
              <c:idx val="1"/>
              <c:tx>
                <c:rich>
                  <a:bodyPr/>
                  <a:lstStyle/>
                  <a:p>
                    <a:pPr>
                      <a:defRPr sz="1100" b="1" i="0" u="none" strike="noStrike" baseline="0">
                        <a:solidFill>
                          <a:srgbClr val="000000"/>
                        </a:solidFill>
                        <a:latin typeface="Calibri"/>
                        <a:ea typeface="Calibri"/>
                        <a:cs typeface="Calibri"/>
                      </a:defRPr>
                    </a:pPr>
                    <a:r>
                      <a:rPr lang="en-US"/>
                      <a:t>Veranderlike koste</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E8A-491E-979E-0A6409A2EBF9}"/>
                </c:ext>
              </c:extLst>
            </c:dLbl>
            <c:dLbl>
              <c:idx val="2"/>
              <c:tx>
                <c:rich>
                  <a:bodyPr/>
                  <a:lstStyle/>
                  <a:p>
                    <a:pPr>
                      <a:defRPr sz="1100" b="1" i="0" u="none" strike="noStrike" baseline="0">
                        <a:solidFill>
                          <a:srgbClr val="000000"/>
                        </a:solidFill>
                        <a:latin typeface="Calibri"/>
                        <a:ea typeface="Calibri"/>
                        <a:cs typeface="Calibri"/>
                      </a:defRPr>
                    </a:pPr>
                    <a:r>
                      <a:rPr lang="en-US"/>
                      <a:t>Vaste koste</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8A-491E-979E-0A6409A2EBF9}"/>
                </c:ext>
              </c:extLst>
            </c:dLbl>
            <c:dLbl>
              <c:idx val="3"/>
              <c:tx>
                <c:rich>
                  <a:bodyPr/>
                  <a:lstStyle/>
                  <a:p>
                    <a:pPr>
                      <a:defRPr sz="1100" b="1" i="0" u="none" strike="noStrike" baseline="0">
                        <a:solidFill>
                          <a:srgbClr val="000000"/>
                        </a:solidFill>
                        <a:latin typeface="Calibri"/>
                        <a:ea typeface="Calibri"/>
                        <a:cs typeface="Calibri"/>
                      </a:defRPr>
                    </a:pPr>
                    <a:r>
                      <a:rPr lang="en-US"/>
                      <a:t>Wins</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8A-491E-979E-0A6409A2EBF9}"/>
                </c:ext>
              </c:extLst>
            </c:dLbl>
            <c:dLbl>
              <c:idx val="4"/>
              <c:delete val="1"/>
              <c:extLst>
                <c:ext xmlns:c15="http://schemas.microsoft.com/office/drawing/2012/chart" uri="{CE6537A1-D6FC-4f65-9D91-7224C49458BB}"/>
                <c:ext xmlns:c16="http://schemas.microsoft.com/office/drawing/2014/chart" uri="{C3380CC4-5D6E-409C-BE32-E72D297353CC}">
                  <c16:uniqueId val="{00000004-5E8A-491E-979E-0A6409A2EBF9}"/>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Calibri"/>
                    <a:ea typeface="Calibri"/>
                    <a:cs typeface="Calibri"/>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val>
            <c:numRef>
              <c:f>Grafieke!$C$79:$C$83</c:f>
              <c:numCache>
                <c:formatCode>0</c:formatCode>
                <c:ptCount val="5"/>
                <c:pt idx="0" formatCode="General">
                  <c:v>0</c:v>
                </c:pt>
                <c:pt idx="1">
                  <c:v>26.623903756012286</c:v>
                </c:pt>
                <c:pt idx="2">
                  <c:v>21.959479078513244</c:v>
                </c:pt>
                <c:pt idx="3">
                  <c:v>51.416617165474463</c:v>
                </c:pt>
                <c:pt idx="4">
                  <c:v>100</c:v>
                </c:pt>
              </c:numCache>
            </c:numRef>
          </c:val>
          <c:extLst>
            <c:ext xmlns:c16="http://schemas.microsoft.com/office/drawing/2014/chart" uri="{C3380CC4-5D6E-409C-BE32-E72D297353CC}">
              <c16:uniqueId val="{00000005-5E8A-491E-979E-0A6409A2EBF9}"/>
            </c:ext>
          </c:extLst>
        </c:ser>
        <c:dLbls>
          <c:showLegendKey val="0"/>
          <c:showVal val="0"/>
          <c:showCatName val="0"/>
          <c:showSerName val="0"/>
          <c:showPercent val="0"/>
          <c:showBubbleSize val="0"/>
          <c:showLeaderLines val="0"/>
        </c:dLbls>
        <c:firstSliceAng val="270"/>
        <c:holeSize val="50"/>
      </c:doughnutChart>
      <c:pieChart>
        <c:varyColors val="1"/>
        <c:ser>
          <c:idx val="1"/>
          <c:order val="1"/>
          <c:tx>
            <c:strRef>
              <c:f>Grafieke!$D$78</c:f>
              <c:strCache>
                <c:ptCount val="1"/>
                <c:pt idx="0">
                  <c:v>Pointer</c:v>
                </c:pt>
              </c:strCache>
            </c:strRef>
          </c:tx>
          <c:dPt>
            <c:idx val="0"/>
            <c:bubble3D val="0"/>
            <c:spPr>
              <a:noFill/>
            </c:spPr>
            <c:extLst>
              <c:ext xmlns:c16="http://schemas.microsoft.com/office/drawing/2014/chart" uri="{C3380CC4-5D6E-409C-BE32-E72D297353CC}">
                <c16:uniqueId val="{00000006-5E8A-491E-979E-0A6409A2EBF9}"/>
              </c:ext>
            </c:extLst>
          </c:dPt>
          <c:dPt>
            <c:idx val="1"/>
            <c:bubble3D val="0"/>
            <c:spPr>
              <a:solidFill>
                <a:schemeClr val="tx1"/>
              </a:solidFill>
            </c:spPr>
            <c:extLst>
              <c:ext xmlns:c16="http://schemas.microsoft.com/office/drawing/2014/chart" uri="{C3380CC4-5D6E-409C-BE32-E72D297353CC}">
                <c16:uniqueId val="{00000007-5E8A-491E-979E-0A6409A2EBF9}"/>
              </c:ext>
            </c:extLst>
          </c:dPt>
          <c:dPt>
            <c:idx val="2"/>
            <c:bubble3D val="0"/>
            <c:spPr>
              <a:noFill/>
            </c:spPr>
            <c:extLst>
              <c:ext xmlns:c16="http://schemas.microsoft.com/office/drawing/2014/chart" uri="{C3380CC4-5D6E-409C-BE32-E72D297353CC}">
                <c16:uniqueId val="{00000008-5E8A-491E-979E-0A6409A2EBF9}"/>
              </c:ext>
            </c:extLst>
          </c:dPt>
          <c:val>
            <c:numRef>
              <c:f>Grafieke!$F$79:$F$81</c:f>
              <c:numCache>
                <c:formatCode>General</c:formatCode>
                <c:ptCount val="3"/>
                <c:pt idx="0" formatCode="0">
                  <c:v>51.416617165474463</c:v>
                </c:pt>
                <c:pt idx="1">
                  <c:v>1</c:v>
                </c:pt>
                <c:pt idx="2" formatCode="0">
                  <c:v>147.58338283452554</c:v>
                </c:pt>
              </c:numCache>
            </c:numRef>
          </c:val>
          <c:extLst>
            <c:ext xmlns:c16="http://schemas.microsoft.com/office/drawing/2014/chart" uri="{C3380CC4-5D6E-409C-BE32-E72D297353CC}">
              <c16:uniqueId val="{00000009-5E8A-491E-979E-0A6409A2EBF9}"/>
            </c:ext>
          </c:extLst>
        </c:ser>
        <c:dLbls>
          <c:showLegendKey val="0"/>
          <c:showVal val="0"/>
          <c:showCatName val="0"/>
          <c:showSerName val="0"/>
          <c:showPercent val="0"/>
          <c:showBubbleSize val="0"/>
          <c:showLeaderLines val="1"/>
        </c:dLbls>
        <c:firstSliceAng val="270"/>
      </c:pieChart>
      <c:spPr>
        <a:noFill/>
        <a:ln w="25400">
          <a:noFill/>
        </a:ln>
      </c:spPr>
    </c:plotArea>
    <c:plotVisOnly val="1"/>
    <c:dispBlanksAs val="gap"/>
    <c:showDLblsOverMax val="0"/>
  </c:chart>
  <c:spPr>
    <a:solidFill>
      <a:schemeClr val="bg1"/>
    </a:solidFill>
    <a:ln w="9525" cap="flat" cmpd="sng" algn="ctr">
      <a:solidFill>
        <a:schemeClr val="tx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ZA"/>
              <a:t>Groundnuts</a:t>
            </a:r>
            <a:r>
              <a:rPr lang="en-ZA" baseline="0"/>
              <a:t> Profitability</a:t>
            </a:r>
            <a:endParaRPr lang="en-ZA"/>
          </a:p>
        </c:rich>
      </c:tx>
      <c:overlay val="0"/>
    </c:title>
    <c:autoTitleDeleted val="0"/>
    <c:plotArea>
      <c:layout>
        <c:manualLayout>
          <c:layoutTarget val="inner"/>
          <c:xMode val="edge"/>
          <c:yMode val="edge"/>
          <c:x val="0.36272656250000002"/>
          <c:y val="0.21670634920634921"/>
          <c:w val="0.34269097222222222"/>
          <c:h val="0.78329365079365076"/>
        </c:manualLayout>
      </c:layout>
      <c:doughnutChart>
        <c:varyColors val="1"/>
        <c:ser>
          <c:idx val="0"/>
          <c:order val="0"/>
          <c:tx>
            <c:strRef>
              <c:f>Grafieke!$A$78</c:f>
              <c:strCache>
                <c:ptCount val="1"/>
                <c:pt idx="0">
                  <c:v>Winsgewendheid: Grondbone</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876C-4ED4-B88C-D891D7F051E7}"/>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876C-4ED4-B88C-D891D7F051E7}"/>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876C-4ED4-B88C-D891D7F051E7}"/>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876C-4ED4-B88C-D891D7F051E7}"/>
              </c:ext>
            </c:extLst>
          </c:dPt>
          <c:dPt>
            <c:idx val="4"/>
            <c:bubble3D val="0"/>
            <c:spPr>
              <a:noFill/>
              <a:ln w="25400">
                <a:noFill/>
              </a:ln>
            </c:spPr>
            <c:extLst>
              <c:ext xmlns:c16="http://schemas.microsoft.com/office/drawing/2014/chart" uri="{C3380CC4-5D6E-409C-BE32-E72D297353CC}">
                <c16:uniqueId val="{00000009-876C-4ED4-B88C-D891D7F051E7}"/>
              </c:ext>
            </c:extLst>
          </c:dPt>
          <c:dLbls>
            <c:dLbl>
              <c:idx val="0"/>
              <c:delete val="1"/>
              <c:extLst>
                <c:ext xmlns:c15="http://schemas.microsoft.com/office/drawing/2012/chart" uri="{CE6537A1-D6FC-4f65-9D91-7224C49458BB}"/>
                <c:ext xmlns:c16="http://schemas.microsoft.com/office/drawing/2014/chart" uri="{C3380CC4-5D6E-409C-BE32-E72D297353CC}">
                  <c16:uniqueId val="{00000001-876C-4ED4-B88C-D891D7F051E7}"/>
                </c:ext>
              </c:extLst>
            </c:dLbl>
            <c:dLbl>
              <c:idx val="1"/>
              <c:tx>
                <c:rich>
                  <a:bodyPr/>
                  <a:lstStyle/>
                  <a:p>
                    <a:pPr>
                      <a:defRPr sz="1100" b="1" i="0" u="none" strike="noStrike" baseline="0">
                        <a:solidFill>
                          <a:srgbClr val="000000"/>
                        </a:solidFill>
                        <a:latin typeface="Calibri"/>
                        <a:ea typeface="Calibri"/>
                        <a:cs typeface="Calibri"/>
                      </a:defRPr>
                    </a:pPr>
                    <a:r>
                      <a:rPr lang="en-US"/>
                      <a:t>Variable</a:t>
                    </a:r>
                    <a:r>
                      <a:rPr lang="en-US" baseline="0"/>
                      <a:t> costs</a:t>
                    </a:r>
                    <a:endParaRPr lang="en-US"/>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76C-4ED4-B88C-D891D7F051E7}"/>
                </c:ext>
              </c:extLst>
            </c:dLbl>
            <c:dLbl>
              <c:idx val="2"/>
              <c:tx>
                <c:rich>
                  <a:bodyPr/>
                  <a:lstStyle/>
                  <a:p>
                    <a:pPr>
                      <a:defRPr sz="1100" b="1" i="0" u="none" strike="noStrike" baseline="0">
                        <a:solidFill>
                          <a:srgbClr val="000000"/>
                        </a:solidFill>
                        <a:latin typeface="Calibri"/>
                        <a:ea typeface="Calibri"/>
                        <a:cs typeface="Calibri"/>
                      </a:defRPr>
                    </a:pPr>
                    <a:r>
                      <a:rPr lang="en-US"/>
                      <a:t>fixed costs</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6C-4ED4-B88C-D891D7F051E7}"/>
                </c:ext>
              </c:extLst>
            </c:dLbl>
            <c:dLbl>
              <c:idx val="3"/>
              <c:tx>
                <c:rich>
                  <a:bodyPr/>
                  <a:lstStyle/>
                  <a:p>
                    <a:pPr>
                      <a:defRPr sz="1100" b="1" i="0" u="none" strike="noStrike" baseline="0">
                        <a:solidFill>
                          <a:srgbClr val="000000"/>
                        </a:solidFill>
                        <a:latin typeface="Calibri"/>
                        <a:ea typeface="Calibri"/>
                        <a:cs typeface="Calibri"/>
                      </a:defRPr>
                    </a:pPr>
                    <a:r>
                      <a:rPr lang="en-US"/>
                      <a:t>Profit</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76C-4ED4-B88C-D891D7F051E7}"/>
                </c:ext>
              </c:extLst>
            </c:dLbl>
            <c:dLbl>
              <c:idx val="4"/>
              <c:delete val="1"/>
              <c:extLst>
                <c:ext xmlns:c15="http://schemas.microsoft.com/office/drawing/2012/chart" uri="{CE6537A1-D6FC-4f65-9D91-7224C49458BB}"/>
                <c:ext xmlns:c16="http://schemas.microsoft.com/office/drawing/2014/chart" uri="{C3380CC4-5D6E-409C-BE32-E72D297353CC}">
                  <c16:uniqueId val="{00000009-876C-4ED4-B88C-D891D7F051E7}"/>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Calibri"/>
                    <a:ea typeface="Calibri"/>
                    <a:cs typeface="Calibri"/>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val>
            <c:numRef>
              <c:f>Grafieke!$C$79:$C$83</c:f>
              <c:numCache>
                <c:formatCode>0</c:formatCode>
                <c:ptCount val="5"/>
                <c:pt idx="0" formatCode="General">
                  <c:v>0</c:v>
                </c:pt>
                <c:pt idx="1">
                  <c:v>26.623903756012286</c:v>
                </c:pt>
                <c:pt idx="2">
                  <c:v>21.959479078513244</c:v>
                </c:pt>
                <c:pt idx="3">
                  <c:v>51.416617165474463</c:v>
                </c:pt>
                <c:pt idx="4">
                  <c:v>100</c:v>
                </c:pt>
              </c:numCache>
            </c:numRef>
          </c:val>
          <c:extLst>
            <c:ext xmlns:c16="http://schemas.microsoft.com/office/drawing/2014/chart" uri="{C3380CC4-5D6E-409C-BE32-E72D297353CC}">
              <c16:uniqueId val="{0000000A-876C-4ED4-B88C-D891D7F051E7}"/>
            </c:ext>
          </c:extLst>
        </c:ser>
        <c:dLbls>
          <c:showLegendKey val="0"/>
          <c:showVal val="0"/>
          <c:showCatName val="0"/>
          <c:showSerName val="0"/>
          <c:showPercent val="0"/>
          <c:showBubbleSize val="0"/>
          <c:showLeaderLines val="0"/>
        </c:dLbls>
        <c:firstSliceAng val="270"/>
        <c:holeSize val="50"/>
      </c:doughnutChart>
      <c:pieChart>
        <c:varyColors val="1"/>
        <c:ser>
          <c:idx val="1"/>
          <c:order val="1"/>
          <c:tx>
            <c:strRef>
              <c:f>Grafieke!$D$78</c:f>
              <c:strCache>
                <c:ptCount val="1"/>
                <c:pt idx="0">
                  <c:v>Pointer</c:v>
                </c:pt>
              </c:strCache>
            </c:strRef>
          </c:tx>
          <c:dPt>
            <c:idx val="0"/>
            <c:bubble3D val="0"/>
            <c:spPr>
              <a:noFill/>
            </c:spPr>
            <c:extLst>
              <c:ext xmlns:c16="http://schemas.microsoft.com/office/drawing/2014/chart" uri="{C3380CC4-5D6E-409C-BE32-E72D297353CC}">
                <c16:uniqueId val="{0000000C-876C-4ED4-B88C-D891D7F051E7}"/>
              </c:ext>
            </c:extLst>
          </c:dPt>
          <c:dPt>
            <c:idx val="1"/>
            <c:bubble3D val="0"/>
            <c:spPr>
              <a:solidFill>
                <a:schemeClr val="tx1"/>
              </a:solidFill>
            </c:spPr>
            <c:extLst>
              <c:ext xmlns:c16="http://schemas.microsoft.com/office/drawing/2014/chart" uri="{C3380CC4-5D6E-409C-BE32-E72D297353CC}">
                <c16:uniqueId val="{0000000E-876C-4ED4-B88C-D891D7F051E7}"/>
              </c:ext>
            </c:extLst>
          </c:dPt>
          <c:dPt>
            <c:idx val="2"/>
            <c:bubble3D val="0"/>
            <c:spPr>
              <a:noFill/>
            </c:spPr>
            <c:extLst>
              <c:ext xmlns:c16="http://schemas.microsoft.com/office/drawing/2014/chart" uri="{C3380CC4-5D6E-409C-BE32-E72D297353CC}">
                <c16:uniqueId val="{00000010-876C-4ED4-B88C-D891D7F051E7}"/>
              </c:ext>
            </c:extLst>
          </c:dPt>
          <c:val>
            <c:numRef>
              <c:f>Grafieke!$F$79:$F$81</c:f>
              <c:numCache>
                <c:formatCode>General</c:formatCode>
                <c:ptCount val="3"/>
                <c:pt idx="0" formatCode="0">
                  <c:v>51.416617165474463</c:v>
                </c:pt>
                <c:pt idx="1">
                  <c:v>1</c:v>
                </c:pt>
                <c:pt idx="2" formatCode="0">
                  <c:v>147.58338283452554</c:v>
                </c:pt>
              </c:numCache>
            </c:numRef>
          </c:val>
          <c:extLst>
            <c:ext xmlns:c16="http://schemas.microsoft.com/office/drawing/2014/chart" uri="{C3380CC4-5D6E-409C-BE32-E72D297353CC}">
              <c16:uniqueId val="{00000011-876C-4ED4-B88C-D891D7F051E7}"/>
            </c:ext>
          </c:extLst>
        </c:ser>
        <c:dLbls>
          <c:showLegendKey val="0"/>
          <c:showVal val="0"/>
          <c:showCatName val="0"/>
          <c:showSerName val="0"/>
          <c:showPercent val="0"/>
          <c:showBubbleSize val="0"/>
          <c:showLeaderLines val="1"/>
        </c:dLbls>
        <c:firstSliceAng val="270"/>
      </c:pieChart>
      <c:spPr>
        <a:noFill/>
        <a:ln w="25400">
          <a:noFill/>
        </a:ln>
      </c:spPr>
    </c:plotArea>
    <c:plotVisOnly val="1"/>
    <c:dispBlanksAs val="gap"/>
    <c:showDLblsOverMax val="0"/>
  </c:chart>
  <c:spPr>
    <a:solidFill>
      <a:schemeClr val="bg1"/>
    </a:solidFill>
    <a:ln w="9525" cap="flat" cmpd="sng" algn="ctr">
      <a:solidFill>
        <a:schemeClr val="tx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ZA"/>
              <a:t>Mieliewinsgewendheid</a:t>
            </a:r>
          </a:p>
        </c:rich>
      </c:tx>
      <c:overlay val="0"/>
    </c:title>
    <c:autoTitleDeleted val="0"/>
    <c:plotArea>
      <c:layout/>
      <c:doughnutChart>
        <c:varyColors val="1"/>
        <c:ser>
          <c:idx val="0"/>
          <c:order val="0"/>
          <c:tx>
            <c:strRef>
              <c:f>'Rev meters'!$A$1</c:f>
              <c:strCache>
                <c:ptCount val="1"/>
                <c:pt idx="0">
                  <c:v>Winsgewendheid: Mielies</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0-2B2E-46A4-A80C-D7DBC5486595}"/>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2B2E-46A4-A80C-D7DBC5486595}"/>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2-2B2E-46A4-A80C-D7DBC5486595}"/>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2B2E-46A4-A80C-D7DBC5486595}"/>
              </c:ext>
            </c:extLst>
          </c:dPt>
          <c:dPt>
            <c:idx val="4"/>
            <c:bubble3D val="0"/>
            <c:spPr>
              <a:noFill/>
              <a:ln w="25400">
                <a:noFill/>
              </a:ln>
            </c:spPr>
            <c:extLst>
              <c:ext xmlns:c16="http://schemas.microsoft.com/office/drawing/2014/chart" uri="{C3380CC4-5D6E-409C-BE32-E72D297353CC}">
                <c16:uniqueId val="{00000004-2B2E-46A4-A80C-D7DBC5486595}"/>
              </c:ext>
            </c:extLst>
          </c:dPt>
          <c:dLbls>
            <c:dLbl>
              <c:idx val="0"/>
              <c:delete val="1"/>
              <c:extLst>
                <c:ext xmlns:c15="http://schemas.microsoft.com/office/drawing/2012/chart" uri="{CE6537A1-D6FC-4f65-9D91-7224C49458BB}"/>
                <c:ext xmlns:c16="http://schemas.microsoft.com/office/drawing/2014/chart" uri="{C3380CC4-5D6E-409C-BE32-E72D297353CC}">
                  <c16:uniqueId val="{00000000-2B2E-46A4-A80C-D7DBC5486595}"/>
                </c:ext>
              </c:extLst>
            </c:dLbl>
            <c:dLbl>
              <c:idx val="1"/>
              <c:tx>
                <c:rich>
                  <a:bodyPr/>
                  <a:lstStyle/>
                  <a:p>
                    <a:pPr>
                      <a:defRPr sz="1100" b="1" i="0" u="none" strike="noStrike" baseline="0">
                        <a:solidFill>
                          <a:srgbClr val="000000"/>
                        </a:solidFill>
                        <a:latin typeface="Calibri"/>
                        <a:ea typeface="Calibri"/>
                        <a:cs typeface="Calibri"/>
                      </a:defRPr>
                    </a:pPr>
                    <a:r>
                      <a:rPr lang="en-ZA"/>
                      <a:t>Veranderlike koste</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2E-46A4-A80C-D7DBC5486595}"/>
                </c:ext>
              </c:extLst>
            </c:dLbl>
            <c:dLbl>
              <c:idx val="2"/>
              <c:tx>
                <c:rich>
                  <a:bodyPr/>
                  <a:lstStyle/>
                  <a:p>
                    <a:pPr>
                      <a:defRPr sz="1100" b="1" i="0" u="none" strike="noStrike" baseline="0">
                        <a:solidFill>
                          <a:srgbClr val="000000"/>
                        </a:solidFill>
                        <a:latin typeface="Calibri"/>
                        <a:ea typeface="Calibri"/>
                        <a:cs typeface="Calibri"/>
                      </a:defRPr>
                    </a:pPr>
                    <a:r>
                      <a:rPr lang="en-ZA"/>
                      <a:t>Vaste koste</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B2E-46A4-A80C-D7DBC5486595}"/>
                </c:ext>
              </c:extLst>
            </c:dLbl>
            <c:dLbl>
              <c:idx val="3"/>
              <c:tx>
                <c:rich>
                  <a:bodyPr/>
                  <a:lstStyle/>
                  <a:p>
                    <a:pPr>
                      <a:defRPr sz="1100" b="1" i="0" u="none" strike="noStrike" baseline="0">
                        <a:solidFill>
                          <a:srgbClr val="000000"/>
                        </a:solidFill>
                        <a:latin typeface="Calibri"/>
                        <a:ea typeface="Calibri"/>
                        <a:cs typeface="Calibri"/>
                      </a:defRPr>
                    </a:pPr>
                    <a:r>
                      <a:rPr lang="en-ZA"/>
                      <a:t>Wins</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B2E-46A4-A80C-D7DBC5486595}"/>
                </c:ext>
              </c:extLst>
            </c:dLbl>
            <c:dLbl>
              <c:idx val="4"/>
              <c:delete val="1"/>
              <c:extLst>
                <c:ext xmlns:c15="http://schemas.microsoft.com/office/drawing/2012/chart" uri="{CE6537A1-D6FC-4f65-9D91-7224C49458BB}"/>
                <c:ext xmlns:c16="http://schemas.microsoft.com/office/drawing/2014/chart" uri="{C3380CC4-5D6E-409C-BE32-E72D297353CC}">
                  <c16:uniqueId val="{00000004-2B2E-46A4-A80C-D7DBC5486595}"/>
                </c:ext>
              </c:extLst>
            </c:dLbl>
            <c:spPr>
              <a:noFill/>
              <a:ln w="25400">
                <a:noFill/>
              </a:ln>
            </c:spPr>
            <c:txPr>
              <a:bodyPr wrap="square" lIns="38100" tIns="19050" rIns="38100" bIns="19050" anchor="ctr">
                <a:spAutoFit/>
              </a:bodyPr>
              <a:lstStyle/>
              <a:p>
                <a:pPr>
                  <a:defRPr sz="900" b="1" i="0" u="none" strike="noStrike" baseline="0">
                    <a:solidFill>
                      <a:srgbClr val="FFFFFF"/>
                    </a:solidFill>
                    <a:latin typeface="Calibri"/>
                    <a:ea typeface="Calibri"/>
                    <a:cs typeface="Calibri"/>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val>
            <c:numRef>
              <c:f>'Rev meters'!$C$2:$C$6</c:f>
              <c:numCache>
                <c:formatCode>0</c:formatCode>
                <c:ptCount val="5"/>
                <c:pt idx="0" formatCode="General">
                  <c:v>0</c:v>
                </c:pt>
                <c:pt idx="1">
                  <c:v>48.456168608106751</c:v>
                </c:pt>
                <c:pt idx="2">
                  <c:v>7.8114652194818044</c:v>
                </c:pt>
                <c:pt idx="3">
                  <c:v>43.732366172411453</c:v>
                </c:pt>
                <c:pt idx="4" formatCode="General">
                  <c:v>100</c:v>
                </c:pt>
              </c:numCache>
            </c:numRef>
          </c:val>
          <c:extLst>
            <c:ext xmlns:c16="http://schemas.microsoft.com/office/drawing/2014/chart" uri="{C3380CC4-5D6E-409C-BE32-E72D297353CC}">
              <c16:uniqueId val="{00000005-2B2E-46A4-A80C-D7DBC5486595}"/>
            </c:ext>
          </c:extLst>
        </c:ser>
        <c:dLbls>
          <c:showLegendKey val="0"/>
          <c:showVal val="0"/>
          <c:showCatName val="0"/>
          <c:showSerName val="0"/>
          <c:showPercent val="0"/>
          <c:showBubbleSize val="0"/>
          <c:showLeaderLines val="0"/>
        </c:dLbls>
        <c:firstSliceAng val="270"/>
        <c:holeSize val="50"/>
      </c:doughnutChart>
      <c:pieChart>
        <c:varyColors val="1"/>
        <c:ser>
          <c:idx val="1"/>
          <c:order val="1"/>
          <c:tx>
            <c:strRef>
              <c:f>'Rev meters'!$D$1</c:f>
              <c:strCache>
                <c:ptCount val="1"/>
                <c:pt idx="0">
                  <c:v>Pointer</c:v>
                </c:pt>
              </c:strCache>
            </c:strRef>
          </c:tx>
          <c:dPt>
            <c:idx val="0"/>
            <c:bubble3D val="0"/>
            <c:spPr>
              <a:noFill/>
              <a:ln w="25400">
                <a:noFill/>
              </a:ln>
            </c:spPr>
            <c:extLst>
              <c:ext xmlns:c16="http://schemas.microsoft.com/office/drawing/2014/chart" uri="{C3380CC4-5D6E-409C-BE32-E72D297353CC}">
                <c16:uniqueId val="{00000006-2B2E-46A4-A80C-D7DBC5486595}"/>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2B2E-46A4-A80C-D7DBC5486595}"/>
              </c:ext>
            </c:extLst>
          </c:dPt>
          <c:dPt>
            <c:idx val="2"/>
            <c:bubble3D val="0"/>
            <c:spPr>
              <a:noFill/>
              <a:ln w="25400">
                <a:noFill/>
              </a:ln>
            </c:spPr>
            <c:extLst>
              <c:ext xmlns:c16="http://schemas.microsoft.com/office/drawing/2014/chart" uri="{C3380CC4-5D6E-409C-BE32-E72D297353CC}">
                <c16:uniqueId val="{00000008-2B2E-46A4-A80C-D7DBC5486595}"/>
              </c:ext>
            </c:extLst>
          </c:dPt>
          <c:val>
            <c:numRef>
              <c:f>'Rev meters'!$F$2:$F$4</c:f>
              <c:numCache>
                <c:formatCode>General</c:formatCode>
                <c:ptCount val="3"/>
                <c:pt idx="0" formatCode="0">
                  <c:v>43.732366172411446</c:v>
                </c:pt>
                <c:pt idx="1">
                  <c:v>1</c:v>
                </c:pt>
                <c:pt idx="2" formatCode="0">
                  <c:v>155.26763382758855</c:v>
                </c:pt>
              </c:numCache>
            </c:numRef>
          </c:val>
          <c:extLst>
            <c:ext xmlns:c16="http://schemas.microsoft.com/office/drawing/2014/chart" uri="{C3380CC4-5D6E-409C-BE32-E72D297353CC}">
              <c16:uniqueId val="{00000009-2B2E-46A4-A80C-D7DBC5486595}"/>
            </c:ext>
          </c:extLst>
        </c:ser>
        <c:dLbls>
          <c:showLegendKey val="0"/>
          <c:showVal val="0"/>
          <c:showCatName val="0"/>
          <c:showSerName val="0"/>
          <c:showPercent val="0"/>
          <c:showBubbleSize val="0"/>
          <c:showLeaderLines val="1"/>
        </c:dLbls>
        <c:firstSliceAng val="270"/>
      </c:pie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ZA"/>
              <a:t>Sonneblomwinsgewendheid</a:t>
            </a:r>
          </a:p>
        </c:rich>
      </c:tx>
      <c:overlay val="0"/>
    </c:title>
    <c:autoTitleDeleted val="0"/>
    <c:plotArea>
      <c:layout/>
      <c:doughnutChart>
        <c:varyColors val="1"/>
        <c:ser>
          <c:idx val="0"/>
          <c:order val="0"/>
          <c:tx>
            <c:strRef>
              <c:f>'Rev meters'!$A$18</c:f>
              <c:strCache>
                <c:ptCount val="1"/>
                <c:pt idx="0">
                  <c:v>Winsgewendheid: Sonneblom</c:v>
                </c:pt>
              </c:strCache>
            </c:strRef>
          </c:tx>
          <c:spPr>
            <a:solidFill>
              <a:srgbClr val="FFFF00"/>
            </a:solidFill>
          </c:spPr>
          <c:dPt>
            <c:idx val="0"/>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0-29C6-4A66-BEC5-499450F34980}"/>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29C6-4A66-BEC5-499450F34980}"/>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2-29C6-4A66-BEC5-499450F34980}"/>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29C6-4A66-BEC5-499450F34980}"/>
              </c:ext>
            </c:extLst>
          </c:dPt>
          <c:dPt>
            <c:idx val="4"/>
            <c:bubble3D val="0"/>
            <c:spPr>
              <a:noFill/>
              <a:ln w="25400">
                <a:noFill/>
              </a:ln>
            </c:spPr>
            <c:extLst>
              <c:ext xmlns:c16="http://schemas.microsoft.com/office/drawing/2014/chart" uri="{C3380CC4-5D6E-409C-BE32-E72D297353CC}">
                <c16:uniqueId val="{00000004-29C6-4A66-BEC5-499450F34980}"/>
              </c:ext>
            </c:extLst>
          </c:dPt>
          <c:dLbls>
            <c:dLbl>
              <c:idx val="0"/>
              <c:delete val="1"/>
              <c:extLst>
                <c:ext xmlns:c15="http://schemas.microsoft.com/office/drawing/2012/chart" uri="{CE6537A1-D6FC-4f65-9D91-7224C49458BB}"/>
                <c:ext xmlns:c16="http://schemas.microsoft.com/office/drawing/2014/chart" uri="{C3380CC4-5D6E-409C-BE32-E72D297353CC}">
                  <c16:uniqueId val="{00000000-29C6-4A66-BEC5-499450F34980}"/>
                </c:ext>
              </c:extLst>
            </c:dLbl>
            <c:dLbl>
              <c:idx val="1"/>
              <c:tx>
                <c:rich>
                  <a:bodyPr/>
                  <a:lstStyle/>
                  <a:p>
                    <a:pPr>
                      <a:defRPr sz="1100" b="1" i="0" u="none" strike="noStrike" baseline="0">
                        <a:solidFill>
                          <a:srgbClr val="000000"/>
                        </a:solidFill>
                        <a:latin typeface="Calibri"/>
                        <a:ea typeface="Calibri"/>
                        <a:cs typeface="Calibri"/>
                      </a:defRPr>
                    </a:pPr>
                    <a:r>
                      <a:rPr lang="en-ZA"/>
                      <a:t>Veranderlike koste</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C6-4A66-BEC5-499450F34980}"/>
                </c:ext>
              </c:extLst>
            </c:dLbl>
            <c:dLbl>
              <c:idx val="2"/>
              <c:tx>
                <c:rich>
                  <a:bodyPr/>
                  <a:lstStyle/>
                  <a:p>
                    <a:pPr>
                      <a:defRPr sz="1100" b="1" i="0" u="none" strike="noStrike" baseline="0">
                        <a:solidFill>
                          <a:srgbClr val="000000"/>
                        </a:solidFill>
                        <a:latin typeface="Calibri"/>
                        <a:ea typeface="Calibri"/>
                        <a:cs typeface="Calibri"/>
                      </a:defRPr>
                    </a:pPr>
                    <a:r>
                      <a:rPr lang="en-ZA"/>
                      <a:t>Vaste koste</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C6-4A66-BEC5-499450F34980}"/>
                </c:ext>
              </c:extLst>
            </c:dLbl>
            <c:dLbl>
              <c:idx val="3"/>
              <c:tx>
                <c:rich>
                  <a:bodyPr/>
                  <a:lstStyle/>
                  <a:p>
                    <a:pPr>
                      <a:defRPr sz="1100" b="1" i="0" u="none" strike="noStrike" baseline="0">
                        <a:solidFill>
                          <a:srgbClr val="000000"/>
                        </a:solidFill>
                        <a:latin typeface="Calibri"/>
                        <a:ea typeface="Calibri"/>
                        <a:cs typeface="Calibri"/>
                      </a:defRPr>
                    </a:pPr>
                    <a:r>
                      <a:rPr lang="en-ZA"/>
                      <a:t>Wins</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C6-4A66-BEC5-499450F34980}"/>
                </c:ext>
              </c:extLst>
            </c:dLbl>
            <c:dLbl>
              <c:idx val="4"/>
              <c:delete val="1"/>
              <c:extLst>
                <c:ext xmlns:c15="http://schemas.microsoft.com/office/drawing/2012/chart" uri="{CE6537A1-D6FC-4f65-9D91-7224C49458BB}"/>
                <c:ext xmlns:c16="http://schemas.microsoft.com/office/drawing/2014/chart" uri="{C3380CC4-5D6E-409C-BE32-E72D297353CC}">
                  <c16:uniqueId val="{00000004-29C6-4A66-BEC5-499450F34980}"/>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Calibri"/>
                    <a:ea typeface="Calibri"/>
                    <a:cs typeface="Calibri"/>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val>
            <c:numRef>
              <c:f>'Rev meters'!$C$19:$C$23</c:f>
              <c:numCache>
                <c:formatCode>0</c:formatCode>
                <c:ptCount val="5"/>
                <c:pt idx="0" formatCode="General">
                  <c:v>0</c:v>
                </c:pt>
                <c:pt idx="1">
                  <c:v>38.268289270281898</c:v>
                </c:pt>
                <c:pt idx="2">
                  <c:v>8.5107421211054231</c:v>
                </c:pt>
                <c:pt idx="3">
                  <c:v>53.220968608612694</c:v>
                </c:pt>
                <c:pt idx="4" formatCode="General">
                  <c:v>100</c:v>
                </c:pt>
              </c:numCache>
            </c:numRef>
          </c:val>
          <c:extLst>
            <c:ext xmlns:c16="http://schemas.microsoft.com/office/drawing/2014/chart" uri="{C3380CC4-5D6E-409C-BE32-E72D297353CC}">
              <c16:uniqueId val="{00000005-29C6-4A66-BEC5-499450F34980}"/>
            </c:ext>
          </c:extLst>
        </c:ser>
        <c:dLbls>
          <c:showLegendKey val="0"/>
          <c:showVal val="0"/>
          <c:showCatName val="0"/>
          <c:showSerName val="0"/>
          <c:showPercent val="0"/>
          <c:showBubbleSize val="0"/>
          <c:showLeaderLines val="0"/>
        </c:dLbls>
        <c:firstSliceAng val="270"/>
        <c:holeSize val="50"/>
      </c:doughnutChart>
      <c:pieChart>
        <c:varyColors val="1"/>
        <c:ser>
          <c:idx val="1"/>
          <c:order val="1"/>
          <c:tx>
            <c:strRef>
              <c:f>'Rev meters'!$D$18</c:f>
              <c:strCache>
                <c:ptCount val="1"/>
                <c:pt idx="0">
                  <c:v>Pointer</c:v>
                </c:pt>
              </c:strCache>
            </c:strRef>
          </c:tx>
          <c:dPt>
            <c:idx val="0"/>
            <c:bubble3D val="0"/>
            <c:spPr>
              <a:noFill/>
              <a:ln w="25400">
                <a:noFill/>
              </a:ln>
            </c:spPr>
            <c:extLst>
              <c:ext xmlns:c16="http://schemas.microsoft.com/office/drawing/2014/chart" uri="{C3380CC4-5D6E-409C-BE32-E72D297353CC}">
                <c16:uniqueId val="{00000006-29C6-4A66-BEC5-499450F34980}"/>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29C6-4A66-BEC5-499450F34980}"/>
              </c:ext>
            </c:extLst>
          </c:dPt>
          <c:dPt>
            <c:idx val="2"/>
            <c:bubble3D val="0"/>
            <c:spPr>
              <a:noFill/>
              <a:ln w="25400">
                <a:noFill/>
              </a:ln>
            </c:spPr>
            <c:extLst>
              <c:ext xmlns:c16="http://schemas.microsoft.com/office/drawing/2014/chart" uri="{C3380CC4-5D6E-409C-BE32-E72D297353CC}">
                <c16:uniqueId val="{00000008-29C6-4A66-BEC5-499450F34980}"/>
              </c:ext>
            </c:extLst>
          </c:dPt>
          <c:val>
            <c:numRef>
              <c:f>'Rev meters'!$F$19:$F$21</c:f>
              <c:numCache>
                <c:formatCode>General</c:formatCode>
                <c:ptCount val="3"/>
                <c:pt idx="0" formatCode="0">
                  <c:v>53.220968608612694</c:v>
                </c:pt>
                <c:pt idx="1">
                  <c:v>1</c:v>
                </c:pt>
                <c:pt idx="2" formatCode="0">
                  <c:v>145.77903139138732</c:v>
                </c:pt>
              </c:numCache>
            </c:numRef>
          </c:val>
          <c:extLst>
            <c:ext xmlns:c16="http://schemas.microsoft.com/office/drawing/2014/chart" uri="{C3380CC4-5D6E-409C-BE32-E72D297353CC}">
              <c16:uniqueId val="{00000009-29C6-4A66-BEC5-499450F34980}"/>
            </c:ext>
          </c:extLst>
        </c:ser>
        <c:dLbls>
          <c:showLegendKey val="0"/>
          <c:showVal val="0"/>
          <c:showCatName val="0"/>
          <c:showSerName val="0"/>
          <c:showPercent val="0"/>
          <c:showBubbleSize val="0"/>
          <c:showLeaderLines val="1"/>
        </c:dLbls>
        <c:firstSliceAng val="270"/>
      </c:pie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ZA"/>
              <a:t>Sojaboonwinsgewendheid</a:t>
            </a:r>
          </a:p>
        </c:rich>
      </c:tx>
      <c:overlay val="0"/>
    </c:title>
    <c:autoTitleDeleted val="0"/>
    <c:plotArea>
      <c:layout/>
      <c:doughnutChart>
        <c:varyColors val="1"/>
        <c:ser>
          <c:idx val="0"/>
          <c:order val="0"/>
          <c:tx>
            <c:strRef>
              <c:f>[2]NW2!$A$35</c:f>
              <c:strCache>
                <c:ptCount val="1"/>
                <c:pt idx="0">
                  <c:v>Winsgewendheid: Sojabone</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0-F88A-41C6-94D2-B0DE621EC4EC}"/>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F88A-41C6-94D2-B0DE621EC4EC}"/>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2-F88A-41C6-94D2-B0DE621EC4EC}"/>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F88A-41C6-94D2-B0DE621EC4EC}"/>
              </c:ext>
            </c:extLst>
          </c:dPt>
          <c:dPt>
            <c:idx val="4"/>
            <c:bubble3D val="0"/>
            <c:spPr>
              <a:noFill/>
              <a:ln w="25400">
                <a:noFill/>
              </a:ln>
            </c:spPr>
            <c:extLst>
              <c:ext xmlns:c16="http://schemas.microsoft.com/office/drawing/2014/chart" uri="{C3380CC4-5D6E-409C-BE32-E72D297353CC}">
                <c16:uniqueId val="{00000004-F88A-41C6-94D2-B0DE621EC4EC}"/>
              </c:ext>
            </c:extLst>
          </c:dPt>
          <c:dLbls>
            <c:dLbl>
              <c:idx val="0"/>
              <c:delete val="1"/>
              <c:extLst>
                <c:ext xmlns:c15="http://schemas.microsoft.com/office/drawing/2012/chart" uri="{CE6537A1-D6FC-4f65-9D91-7224C49458BB}"/>
                <c:ext xmlns:c16="http://schemas.microsoft.com/office/drawing/2014/chart" uri="{C3380CC4-5D6E-409C-BE32-E72D297353CC}">
                  <c16:uniqueId val="{00000000-F88A-41C6-94D2-B0DE621EC4EC}"/>
                </c:ext>
              </c:extLst>
            </c:dLbl>
            <c:dLbl>
              <c:idx val="1"/>
              <c:tx>
                <c:rich>
                  <a:bodyPr/>
                  <a:lstStyle/>
                  <a:p>
                    <a:pPr>
                      <a:defRPr sz="1100" b="1" i="0" u="none" strike="noStrike" baseline="0">
                        <a:solidFill>
                          <a:srgbClr val="000000"/>
                        </a:solidFill>
                        <a:latin typeface="Calibri"/>
                        <a:ea typeface="Calibri"/>
                        <a:cs typeface="Calibri"/>
                      </a:defRPr>
                    </a:pPr>
                    <a:r>
                      <a:rPr lang="en-ZA"/>
                      <a:t>Veranderlike koste</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8A-41C6-94D2-B0DE621EC4EC}"/>
                </c:ext>
              </c:extLst>
            </c:dLbl>
            <c:dLbl>
              <c:idx val="2"/>
              <c:tx>
                <c:rich>
                  <a:bodyPr/>
                  <a:lstStyle/>
                  <a:p>
                    <a:pPr>
                      <a:defRPr sz="1100" b="1" i="0" u="none" strike="noStrike" baseline="0">
                        <a:solidFill>
                          <a:srgbClr val="000000"/>
                        </a:solidFill>
                        <a:latin typeface="Calibri"/>
                        <a:ea typeface="Calibri"/>
                        <a:cs typeface="Calibri"/>
                      </a:defRPr>
                    </a:pPr>
                    <a:r>
                      <a:rPr lang="en-ZA"/>
                      <a:t>Vaste koste</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8A-41C6-94D2-B0DE621EC4EC}"/>
                </c:ext>
              </c:extLst>
            </c:dLbl>
            <c:dLbl>
              <c:idx val="3"/>
              <c:tx>
                <c:rich>
                  <a:bodyPr/>
                  <a:lstStyle/>
                  <a:p>
                    <a:pPr>
                      <a:defRPr sz="1100" b="1" i="0" u="none" strike="noStrike" baseline="0">
                        <a:solidFill>
                          <a:srgbClr val="000000"/>
                        </a:solidFill>
                        <a:latin typeface="Calibri"/>
                        <a:ea typeface="Calibri"/>
                        <a:cs typeface="Calibri"/>
                      </a:defRPr>
                    </a:pPr>
                    <a:r>
                      <a:rPr lang="en-ZA"/>
                      <a:t>Wins</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8A-41C6-94D2-B0DE621EC4EC}"/>
                </c:ext>
              </c:extLst>
            </c:dLbl>
            <c:dLbl>
              <c:idx val="4"/>
              <c:delete val="1"/>
              <c:extLst>
                <c:ext xmlns:c15="http://schemas.microsoft.com/office/drawing/2012/chart" uri="{CE6537A1-D6FC-4f65-9D91-7224C49458BB}"/>
                <c:ext xmlns:c16="http://schemas.microsoft.com/office/drawing/2014/chart" uri="{C3380CC4-5D6E-409C-BE32-E72D297353CC}">
                  <c16:uniqueId val="{00000004-F88A-41C6-94D2-B0DE621EC4EC}"/>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Calibri"/>
                    <a:ea typeface="Calibri"/>
                    <a:cs typeface="Calibri"/>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val>
            <c:numRef>
              <c:f>[2]NW2!$C$36:$C$40</c:f>
              <c:numCache>
                <c:formatCode>General</c:formatCode>
                <c:ptCount val="5"/>
                <c:pt idx="0">
                  <c:v>0</c:v>
                </c:pt>
                <c:pt idx="1">
                  <c:v>41.920820901592684</c:v>
                </c:pt>
                <c:pt idx="2">
                  <c:v>9.3694985438043634</c:v>
                </c:pt>
                <c:pt idx="3">
                  <c:v>48.70968055460294</c:v>
                </c:pt>
                <c:pt idx="4">
                  <c:v>100</c:v>
                </c:pt>
              </c:numCache>
            </c:numRef>
          </c:val>
          <c:extLst>
            <c:ext xmlns:c16="http://schemas.microsoft.com/office/drawing/2014/chart" uri="{C3380CC4-5D6E-409C-BE32-E72D297353CC}">
              <c16:uniqueId val="{00000005-F88A-41C6-94D2-B0DE621EC4EC}"/>
            </c:ext>
          </c:extLst>
        </c:ser>
        <c:dLbls>
          <c:showLegendKey val="0"/>
          <c:showVal val="0"/>
          <c:showCatName val="0"/>
          <c:showSerName val="0"/>
          <c:showPercent val="0"/>
          <c:showBubbleSize val="0"/>
          <c:showLeaderLines val="0"/>
        </c:dLbls>
        <c:firstSliceAng val="270"/>
        <c:holeSize val="50"/>
      </c:doughnutChart>
      <c:pieChart>
        <c:varyColors val="1"/>
        <c:ser>
          <c:idx val="1"/>
          <c:order val="1"/>
          <c:tx>
            <c:strRef>
              <c:f>'Rev meters'!$D$35</c:f>
              <c:strCache>
                <c:ptCount val="1"/>
                <c:pt idx="0">
                  <c:v>Pointer</c:v>
                </c:pt>
              </c:strCache>
            </c:strRef>
          </c:tx>
          <c:dPt>
            <c:idx val="0"/>
            <c:bubble3D val="0"/>
            <c:spPr>
              <a:noFill/>
            </c:spPr>
            <c:extLst>
              <c:ext xmlns:c16="http://schemas.microsoft.com/office/drawing/2014/chart" uri="{C3380CC4-5D6E-409C-BE32-E72D297353CC}">
                <c16:uniqueId val="{00000006-F88A-41C6-94D2-B0DE621EC4EC}"/>
              </c:ext>
            </c:extLst>
          </c:dPt>
          <c:dPt>
            <c:idx val="1"/>
            <c:bubble3D val="0"/>
            <c:spPr>
              <a:solidFill>
                <a:schemeClr val="tx1"/>
              </a:solidFill>
            </c:spPr>
            <c:extLst>
              <c:ext xmlns:c16="http://schemas.microsoft.com/office/drawing/2014/chart" uri="{C3380CC4-5D6E-409C-BE32-E72D297353CC}">
                <c16:uniqueId val="{00000007-F88A-41C6-94D2-B0DE621EC4EC}"/>
              </c:ext>
            </c:extLst>
          </c:dPt>
          <c:dPt>
            <c:idx val="2"/>
            <c:bubble3D val="0"/>
            <c:spPr>
              <a:noFill/>
            </c:spPr>
            <c:extLst>
              <c:ext xmlns:c16="http://schemas.microsoft.com/office/drawing/2014/chart" uri="{C3380CC4-5D6E-409C-BE32-E72D297353CC}">
                <c16:uniqueId val="{00000008-F88A-41C6-94D2-B0DE621EC4EC}"/>
              </c:ext>
            </c:extLst>
          </c:dPt>
          <c:val>
            <c:numRef>
              <c:f>'Rev meters'!$F$36:$F$38</c:f>
              <c:numCache>
                <c:formatCode>General</c:formatCode>
                <c:ptCount val="3"/>
                <c:pt idx="0" formatCode="0">
                  <c:v>55.005322772276187</c:v>
                </c:pt>
                <c:pt idx="1">
                  <c:v>1</c:v>
                </c:pt>
                <c:pt idx="2" formatCode="0">
                  <c:v>143.9946772277238</c:v>
                </c:pt>
              </c:numCache>
            </c:numRef>
          </c:val>
          <c:extLst>
            <c:ext xmlns:c16="http://schemas.microsoft.com/office/drawing/2014/chart" uri="{C3380CC4-5D6E-409C-BE32-E72D297353CC}">
              <c16:uniqueId val="{00000009-F88A-41C6-94D2-B0DE621EC4EC}"/>
            </c:ext>
          </c:extLst>
        </c:ser>
        <c:dLbls>
          <c:showLegendKey val="0"/>
          <c:showVal val="0"/>
          <c:showCatName val="0"/>
          <c:showSerName val="0"/>
          <c:showPercent val="0"/>
          <c:showBubbleSize val="0"/>
          <c:showLeaderLines val="1"/>
        </c:dLbls>
        <c:firstSliceAng val="270"/>
      </c:pie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ZA"/>
              <a:t>Sorghumwinsgewendheid</a:t>
            </a:r>
          </a:p>
        </c:rich>
      </c:tx>
      <c:overlay val="0"/>
    </c:title>
    <c:autoTitleDeleted val="0"/>
    <c:plotArea>
      <c:layout/>
      <c:doughnutChart>
        <c:varyColors val="1"/>
        <c:ser>
          <c:idx val="0"/>
          <c:order val="0"/>
          <c:tx>
            <c:strRef>
              <c:f>'Rev meters'!$A$55:$C$55</c:f>
              <c:strCache>
                <c:ptCount val="1"/>
                <c:pt idx="0">
                  <c:v>Winsgewendheid: Sorghum</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0-475F-480D-8A2F-56C8E708F7D2}"/>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475F-480D-8A2F-56C8E708F7D2}"/>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2-475F-480D-8A2F-56C8E708F7D2}"/>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475F-480D-8A2F-56C8E708F7D2}"/>
              </c:ext>
            </c:extLst>
          </c:dPt>
          <c:dPt>
            <c:idx val="4"/>
            <c:bubble3D val="0"/>
            <c:spPr>
              <a:noFill/>
              <a:ln w="25400">
                <a:noFill/>
              </a:ln>
            </c:spPr>
            <c:extLst>
              <c:ext xmlns:c16="http://schemas.microsoft.com/office/drawing/2014/chart" uri="{C3380CC4-5D6E-409C-BE32-E72D297353CC}">
                <c16:uniqueId val="{00000004-475F-480D-8A2F-56C8E708F7D2}"/>
              </c:ext>
            </c:extLst>
          </c:dPt>
          <c:dLbls>
            <c:dLbl>
              <c:idx val="0"/>
              <c:delete val="1"/>
              <c:extLst>
                <c:ext xmlns:c15="http://schemas.microsoft.com/office/drawing/2012/chart" uri="{CE6537A1-D6FC-4f65-9D91-7224C49458BB}"/>
                <c:ext xmlns:c16="http://schemas.microsoft.com/office/drawing/2014/chart" uri="{C3380CC4-5D6E-409C-BE32-E72D297353CC}">
                  <c16:uniqueId val="{00000000-475F-480D-8A2F-56C8E708F7D2}"/>
                </c:ext>
              </c:extLst>
            </c:dLbl>
            <c:dLbl>
              <c:idx val="1"/>
              <c:tx>
                <c:rich>
                  <a:bodyPr/>
                  <a:lstStyle/>
                  <a:p>
                    <a:pPr>
                      <a:defRPr sz="1100" b="1" i="0" u="none" strike="noStrike" baseline="0">
                        <a:solidFill>
                          <a:srgbClr val="000000"/>
                        </a:solidFill>
                        <a:latin typeface="Calibri"/>
                        <a:ea typeface="Calibri"/>
                        <a:cs typeface="Calibri"/>
                      </a:defRPr>
                    </a:pPr>
                    <a:r>
                      <a:rPr lang="en-ZA"/>
                      <a:t>Veranderlike koste</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5F-480D-8A2F-56C8E708F7D2}"/>
                </c:ext>
              </c:extLst>
            </c:dLbl>
            <c:dLbl>
              <c:idx val="2"/>
              <c:tx>
                <c:rich>
                  <a:bodyPr/>
                  <a:lstStyle/>
                  <a:p>
                    <a:pPr>
                      <a:defRPr sz="1100" b="1" i="0" u="none" strike="noStrike" baseline="0">
                        <a:solidFill>
                          <a:srgbClr val="000000"/>
                        </a:solidFill>
                        <a:latin typeface="Calibri"/>
                        <a:ea typeface="Calibri"/>
                        <a:cs typeface="Calibri"/>
                      </a:defRPr>
                    </a:pPr>
                    <a:r>
                      <a:rPr lang="en-ZA"/>
                      <a:t>Vaste koste</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5F-480D-8A2F-56C8E708F7D2}"/>
                </c:ext>
              </c:extLst>
            </c:dLbl>
            <c:dLbl>
              <c:idx val="3"/>
              <c:tx>
                <c:rich>
                  <a:bodyPr/>
                  <a:lstStyle/>
                  <a:p>
                    <a:pPr>
                      <a:defRPr sz="1100" b="1" i="0" u="none" strike="noStrike" baseline="0">
                        <a:solidFill>
                          <a:srgbClr val="000000"/>
                        </a:solidFill>
                        <a:latin typeface="Calibri"/>
                        <a:ea typeface="Calibri"/>
                        <a:cs typeface="Calibri"/>
                      </a:defRPr>
                    </a:pPr>
                    <a:r>
                      <a:rPr lang="en-ZA"/>
                      <a:t>Wins</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5F-480D-8A2F-56C8E708F7D2}"/>
                </c:ext>
              </c:extLst>
            </c:dLbl>
            <c:dLbl>
              <c:idx val="4"/>
              <c:delete val="1"/>
              <c:extLst>
                <c:ext xmlns:c15="http://schemas.microsoft.com/office/drawing/2012/chart" uri="{CE6537A1-D6FC-4f65-9D91-7224C49458BB}"/>
                <c:ext xmlns:c16="http://schemas.microsoft.com/office/drawing/2014/chart" uri="{C3380CC4-5D6E-409C-BE32-E72D297353CC}">
                  <c16:uniqueId val="{00000004-475F-480D-8A2F-56C8E708F7D2}"/>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Calibri"/>
                    <a:ea typeface="Calibri"/>
                    <a:cs typeface="Calibri"/>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val>
            <c:numRef>
              <c:f>'Rev meters'!$C$56:$C$60</c:f>
              <c:numCache>
                <c:formatCode>0</c:formatCode>
                <c:ptCount val="5"/>
                <c:pt idx="0" formatCode="General">
                  <c:v>0</c:v>
                </c:pt>
                <c:pt idx="1">
                  <c:v>50.207919716312574</c:v>
                </c:pt>
                <c:pt idx="2">
                  <c:v>10.998575056779217</c:v>
                </c:pt>
                <c:pt idx="3">
                  <c:v>38.793505226908202</c:v>
                </c:pt>
                <c:pt idx="4" formatCode="General">
                  <c:v>100</c:v>
                </c:pt>
              </c:numCache>
            </c:numRef>
          </c:val>
          <c:extLst>
            <c:ext xmlns:c16="http://schemas.microsoft.com/office/drawing/2014/chart" uri="{C3380CC4-5D6E-409C-BE32-E72D297353CC}">
              <c16:uniqueId val="{00000005-475F-480D-8A2F-56C8E708F7D2}"/>
            </c:ext>
          </c:extLst>
        </c:ser>
        <c:dLbls>
          <c:showLegendKey val="0"/>
          <c:showVal val="0"/>
          <c:showCatName val="0"/>
          <c:showSerName val="0"/>
          <c:showPercent val="0"/>
          <c:showBubbleSize val="0"/>
          <c:showLeaderLines val="0"/>
        </c:dLbls>
        <c:firstSliceAng val="270"/>
        <c:holeSize val="50"/>
      </c:doughnutChart>
      <c:pieChart>
        <c:varyColors val="1"/>
        <c:ser>
          <c:idx val="1"/>
          <c:order val="1"/>
          <c:tx>
            <c:strRef>
              <c:f>'Rev meters'!$D$55:$F$55</c:f>
              <c:strCache>
                <c:ptCount val="1"/>
                <c:pt idx="0">
                  <c:v>Pointer</c:v>
                </c:pt>
              </c:strCache>
            </c:strRef>
          </c:tx>
          <c:dPt>
            <c:idx val="0"/>
            <c:bubble3D val="0"/>
            <c:spPr>
              <a:noFill/>
            </c:spPr>
            <c:extLst>
              <c:ext xmlns:c16="http://schemas.microsoft.com/office/drawing/2014/chart" uri="{C3380CC4-5D6E-409C-BE32-E72D297353CC}">
                <c16:uniqueId val="{00000006-475F-480D-8A2F-56C8E708F7D2}"/>
              </c:ext>
            </c:extLst>
          </c:dPt>
          <c:dPt>
            <c:idx val="1"/>
            <c:bubble3D val="0"/>
            <c:spPr>
              <a:solidFill>
                <a:schemeClr val="tx1"/>
              </a:solidFill>
            </c:spPr>
            <c:extLst>
              <c:ext xmlns:c16="http://schemas.microsoft.com/office/drawing/2014/chart" uri="{C3380CC4-5D6E-409C-BE32-E72D297353CC}">
                <c16:uniqueId val="{00000007-475F-480D-8A2F-56C8E708F7D2}"/>
              </c:ext>
            </c:extLst>
          </c:dPt>
          <c:dPt>
            <c:idx val="2"/>
            <c:bubble3D val="0"/>
            <c:spPr>
              <a:noFill/>
            </c:spPr>
            <c:extLst>
              <c:ext xmlns:c16="http://schemas.microsoft.com/office/drawing/2014/chart" uri="{C3380CC4-5D6E-409C-BE32-E72D297353CC}">
                <c16:uniqueId val="{00000008-475F-480D-8A2F-56C8E708F7D2}"/>
              </c:ext>
            </c:extLst>
          </c:dPt>
          <c:val>
            <c:numRef>
              <c:f>'Rev meters'!$F$56:$F$58</c:f>
              <c:numCache>
                <c:formatCode>General</c:formatCode>
                <c:ptCount val="3"/>
                <c:pt idx="0" formatCode="0">
                  <c:v>38.793505226908202</c:v>
                </c:pt>
                <c:pt idx="1">
                  <c:v>1</c:v>
                </c:pt>
                <c:pt idx="2" formatCode="0">
                  <c:v>160.2064947730918</c:v>
                </c:pt>
              </c:numCache>
            </c:numRef>
          </c:val>
          <c:extLst>
            <c:ext xmlns:c16="http://schemas.microsoft.com/office/drawing/2014/chart" uri="{C3380CC4-5D6E-409C-BE32-E72D297353CC}">
              <c16:uniqueId val="{00000009-475F-480D-8A2F-56C8E708F7D2}"/>
            </c:ext>
          </c:extLst>
        </c:ser>
        <c:dLbls>
          <c:showLegendKey val="0"/>
          <c:showVal val="0"/>
          <c:showCatName val="0"/>
          <c:showSerName val="0"/>
          <c:showPercent val="0"/>
          <c:showBubbleSize val="0"/>
          <c:showLeaderLines val="1"/>
        </c:dLbls>
        <c:firstSliceAng val="270"/>
      </c:pie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ZA"/>
              <a:t>Mieliewinsgewendheid</a:t>
            </a:r>
          </a:p>
        </c:rich>
      </c:tx>
      <c:overlay val="0"/>
    </c:title>
    <c:autoTitleDeleted val="0"/>
    <c:plotArea>
      <c:layout/>
      <c:doughnutChart>
        <c:varyColors val="1"/>
        <c:ser>
          <c:idx val="0"/>
          <c:order val="0"/>
          <c:tx>
            <c:strRef>
              <c:f>Grafieke!$A$1</c:f>
              <c:strCache>
                <c:ptCount val="1"/>
                <c:pt idx="0">
                  <c:v>Winsgewendheid: Mielies</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0-21A9-41DE-8F1F-A6A560BACA52}"/>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21A9-41DE-8F1F-A6A560BACA52}"/>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2-21A9-41DE-8F1F-A6A560BACA52}"/>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21A9-41DE-8F1F-A6A560BACA52}"/>
              </c:ext>
            </c:extLst>
          </c:dPt>
          <c:dPt>
            <c:idx val="4"/>
            <c:bubble3D val="0"/>
            <c:spPr>
              <a:noFill/>
              <a:ln w="25400">
                <a:noFill/>
              </a:ln>
            </c:spPr>
            <c:extLst>
              <c:ext xmlns:c16="http://schemas.microsoft.com/office/drawing/2014/chart" uri="{C3380CC4-5D6E-409C-BE32-E72D297353CC}">
                <c16:uniqueId val="{00000004-21A9-41DE-8F1F-A6A560BACA52}"/>
              </c:ext>
            </c:extLst>
          </c:dPt>
          <c:dLbls>
            <c:dLbl>
              <c:idx val="0"/>
              <c:delete val="1"/>
              <c:extLst>
                <c:ext xmlns:c15="http://schemas.microsoft.com/office/drawing/2012/chart" uri="{CE6537A1-D6FC-4f65-9D91-7224C49458BB}"/>
                <c:ext xmlns:c16="http://schemas.microsoft.com/office/drawing/2014/chart" uri="{C3380CC4-5D6E-409C-BE32-E72D297353CC}">
                  <c16:uniqueId val="{00000000-21A9-41DE-8F1F-A6A560BACA52}"/>
                </c:ext>
              </c:extLst>
            </c:dLbl>
            <c:dLbl>
              <c:idx val="1"/>
              <c:tx>
                <c:rich>
                  <a:bodyPr/>
                  <a:lstStyle/>
                  <a:p>
                    <a:pPr>
                      <a:defRPr sz="1100" b="1" i="0" u="none" strike="noStrike" baseline="0">
                        <a:solidFill>
                          <a:srgbClr val="000000"/>
                        </a:solidFill>
                        <a:latin typeface="Calibri"/>
                        <a:ea typeface="Calibri"/>
                        <a:cs typeface="Calibri"/>
                      </a:defRPr>
                    </a:pPr>
                    <a:r>
                      <a:rPr lang="en-US"/>
                      <a:t>Veranderlike koste</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1A9-41DE-8F1F-A6A560BACA52}"/>
                </c:ext>
              </c:extLst>
            </c:dLbl>
            <c:dLbl>
              <c:idx val="2"/>
              <c:tx>
                <c:rich>
                  <a:bodyPr/>
                  <a:lstStyle/>
                  <a:p>
                    <a:pPr>
                      <a:defRPr sz="1100" b="1" i="0" u="none" strike="noStrike" baseline="0">
                        <a:solidFill>
                          <a:srgbClr val="000000"/>
                        </a:solidFill>
                        <a:latin typeface="Calibri"/>
                        <a:ea typeface="Calibri"/>
                        <a:cs typeface="Calibri"/>
                      </a:defRPr>
                    </a:pPr>
                    <a:r>
                      <a:rPr lang="en-US"/>
                      <a:t>Vaste koste</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1A9-41DE-8F1F-A6A560BACA52}"/>
                </c:ext>
              </c:extLst>
            </c:dLbl>
            <c:dLbl>
              <c:idx val="3"/>
              <c:tx>
                <c:rich>
                  <a:bodyPr/>
                  <a:lstStyle/>
                  <a:p>
                    <a:pPr>
                      <a:defRPr sz="1100" b="1" i="0" u="none" strike="noStrike" baseline="0">
                        <a:solidFill>
                          <a:srgbClr val="000000"/>
                        </a:solidFill>
                        <a:latin typeface="Calibri"/>
                        <a:ea typeface="Calibri"/>
                        <a:cs typeface="Calibri"/>
                      </a:defRPr>
                    </a:pPr>
                    <a:r>
                      <a:rPr lang="en-US"/>
                      <a:t>Wins</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1A9-41DE-8F1F-A6A560BACA52}"/>
                </c:ext>
              </c:extLst>
            </c:dLbl>
            <c:dLbl>
              <c:idx val="4"/>
              <c:delete val="1"/>
              <c:extLst>
                <c:ext xmlns:c15="http://schemas.microsoft.com/office/drawing/2012/chart" uri="{CE6537A1-D6FC-4f65-9D91-7224C49458BB}"/>
                <c:ext xmlns:c16="http://schemas.microsoft.com/office/drawing/2014/chart" uri="{C3380CC4-5D6E-409C-BE32-E72D297353CC}">
                  <c16:uniqueId val="{00000004-21A9-41DE-8F1F-A6A560BACA52}"/>
                </c:ext>
              </c:extLst>
            </c:dLbl>
            <c:spPr>
              <a:noFill/>
              <a:ln w="25400">
                <a:noFill/>
              </a:ln>
            </c:spPr>
            <c:txPr>
              <a:bodyPr wrap="square" lIns="38100" tIns="19050" rIns="38100" bIns="19050" anchor="ctr">
                <a:spAutoFit/>
              </a:bodyPr>
              <a:lstStyle/>
              <a:p>
                <a:pPr>
                  <a:defRPr sz="900" b="1" i="0" u="none" strike="noStrike" baseline="0">
                    <a:solidFill>
                      <a:srgbClr val="FFFFFF"/>
                    </a:solidFill>
                    <a:latin typeface="Calibri"/>
                    <a:ea typeface="Calibri"/>
                    <a:cs typeface="Calibri"/>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val>
            <c:numRef>
              <c:f>Grafieke!$C$2:$C$6</c:f>
              <c:numCache>
                <c:formatCode>0</c:formatCode>
                <c:ptCount val="5"/>
                <c:pt idx="0" formatCode="General">
                  <c:v>0</c:v>
                </c:pt>
                <c:pt idx="1">
                  <c:v>46</c:v>
                </c:pt>
                <c:pt idx="2">
                  <c:v>19.022103750293841</c:v>
                </c:pt>
                <c:pt idx="3">
                  <c:v>38.414267230680331</c:v>
                </c:pt>
                <c:pt idx="4" formatCode="General">
                  <c:v>100</c:v>
                </c:pt>
              </c:numCache>
            </c:numRef>
          </c:val>
          <c:extLst>
            <c:ext xmlns:c16="http://schemas.microsoft.com/office/drawing/2014/chart" uri="{C3380CC4-5D6E-409C-BE32-E72D297353CC}">
              <c16:uniqueId val="{00000005-21A9-41DE-8F1F-A6A560BACA52}"/>
            </c:ext>
          </c:extLst>
        </c:ser>
        <c:dLbls>
          <c:showLegendKey val="0"/>
          <c:showVal val="0"/>
          <c:showCatName val="0"/>
          <c:showSerName val="0"/>
          <c:showPercent val="0"/>
          <c:showBubbleSize val="0"/>
          <c:showLeaderLines val="0"/>
        </c:dLbls>
        <c:firstSliceAng val="270"/>
        <c:holeSize val="50"/>
      </c:doughnutChart>
      <c:pieChart>
        <c:varyColors val="1"/>
        <c:ser>
          <c:idx val="1"/>
          <c:order val="1"/>
          <c:tx>
            <c:strRef>
              <c:f>Grafieke!$D$1</c:f>
              <c:strCache>
                <c:ptCount val="1"/>
                <c:pt idx="0">
                  <c:v>Pointer</c:v>
                </c:pt>
              </c:strCache>
            </c:strRef>
          </c:tx>
          <c:dPt>
            <c:idx val="0"/>
            <c:bubble3D val="0"/>
            <c:spPr>
              <a:noFill/>
              <a:ln w="25400">
                <a:noFill/>
              </a:ln>
            </c:spPr>
            <c:extLst>
              <c:ext xmlns:c16="http://schemas.microsoft.com/office/drawing/2014/chart" uri="{C3380CC4-5D6E-409C-BE32-E72D297353CC}">
                <c16:uniqueId val="{00000006-21A9-41DE-8F1F-A6A560BACA52}"/>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21A9-41DE-8F1F-A6A560BACA52}"/>
              </c:ext>
            </c:extLst>
          </c:dPt>
          <c:dPt>
            <c:idx val="2"/>
            <c:bubble3D val="0"/>
            <c:spPr>
              <a:noFill/>
              <a:ln w="25400">
                <a:noFill/>
              </a:ln>
            </c:spPr>
            <c:extLst>
              <c:ext xmlns:c16="http://schemas.microsoft.com/office/drawing/2014/chart" uri="{C3380CC4-5D6E-409C-BE32-E72D297353CC}">
                <c16:uniqueId val="{00000008-21A9-41DE-8F1F-A6A560BACA52}"/>
              </c:ext>
            </c:extLst>
          </c:dPt>
          <c:val>
            <c:numRef>
              <c:f>Grafieke!$F$2:$F$4</c:f>
              <c:numCache>
                <c:formatCode>General</c:formatCode>
                <c:ptCount val="3"/>
                <c:pt idx="0" formatCode="0">
                  <c:v>38.414267230680331</c:v>
                </c:pt>
                <c:pt idx="1">
                  <c:v>1</c:v>
                </c:pt>
                <c:pt idx="2" formatCode="0">
                  <c:v>164.02210375029384</c:v>
                </c:pt>
              </c:numCache>
            </c:numRef>
          </c:val>
          <c:extLst>
            <c:ext xmlns:c16="http://schemas.microsoft.com/office/drawing/2014/chart" uri="{C3380CC4-5D6E-409C-BE32-E72D297353CC}">
              <c16:uniqueId val="{00000009-21A9-41DE-8F1F-A6A560BACA52}"/>
            </c:ext>
          </c:extLst>
        </c:ser>
        <c:dLbls>
          <c:showLegendKey val="0"/>
          <c:showVal val="0"/>
          <c:showCatName val="0"/>
          <c:showSerName val="0"/>
          <c:showPercent val="0"/>
          <c:showBubbleSize val="0"/>
          <c:showLeaderLines val="1"/>
        </c:dLbls>
        <c:firstSliceAng val="270"/>
      </c:pieChart>
      <c:spPr>
        <a:noFill/>
        <a:ln w="25400">
          <a:noFill/>
        </a:ln>
      </c:spPr>
    </c:plotArea>
    <c:plotVisOnly val="1"/>
    <c:dispBlanksAs val="gap"/>
    <c:showDLblsOverMax val="0"/>
  </c:chart>
  <c:spPr>
    <a:solidFill>
      <a:schemeClr val="bg1"/>
    </a:solidFill>
    <a:ln w="9525" cap="flat" cmpd="sng" algn="ctr">
      <a:solidFill>
        <a:schemeClr val="tx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ZA" sz="1800"/>
              <a:t>Sonneblomwinsgewendheid</a:t>
            </a:r>
          </a:p>
        </c:rich>
      </c:tx>
      <c:overlay val="0"/>
    </c:title>
    <c:autoTitleDeleted val="0"/>
    <c:plotArea>
      <c:layout/>
      <c:doughnutChart>
        <c:varyColors val="1"/>
        <c:ser>
          <c:idx val="0"/>
          <c:order val="0"/>
          <c:tx>
            <c:strRef>
              <c:f>Grafieke!$A$1</c:f>
              <c:strCache>
                <c:ptCount val="1"/>
                <c:pt idx="0">
                  <c:v>Winsgewendheid: Mielies</c:v>
                </c:pt>
              </c:strCache>
            </c:strRef>
          </c:tx>
          <c:spPr>
            <a:solidFill>
              <a:srgbClr val="FFFF00"/>
            </a:solidFill>
          </c:spPr>
          <c:dPt>
            <c:idx val="0"/>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0-82FF-4536-A697-622B699DC478}"/>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82FF-4536-A697-622B699DC478}"/>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2-82FF-4536-A697-622B699DC478}"/>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82FF-4536-A697-622B699DC478}"/>
              </c:ext>
            </c:extLst>
          </c:dPt>
          <c:dPt>
            <c:idx val="4"/>
            <c:bubble3D val="0"/>
            <c:spPr>
              <a:noFill/>
              <a:ln w="25400">
                <a:noFill/>
              </a:ln>
            </c:spPr>
            <c:extLst>
              <c:ext xmlns:c16="http://schemas.microsoft.com/office/drawing/2014/chart" uri="{C3380CC4-5D6E-409C-BE32-E72D297353CC}">
                <c16:uniqueId val="{00000004-82FF-4536-A697-622B699DC478}"/>
              </c:ext>
            </c:extLst>
          </c:dPt>
          <c:dLbls>
            <c:dLbl>
              <c:idx val="0"/>
              <c:delete val="1"/>
              <c:extLst>
                <c:ext xmlns:c15="http://schemas.microsoft.com/office/drawing/2012/chart" uri="{CE6537A1-D6FC-4f65-9D91-7224C49458BB}"/>
                <c:ext xmlns:c16="http://schemas.microsoft.com/office/drawing/2014/chart" uri="{C3380CC4-5D6E-409C-BE32-E72D297353CC}">
                  <c16:uniqueId val="{00000000-82FF-4536-A697-622B699DC478}"/>
                </c:ext>
              </c:extLst>
            </c:dLbl>
            <c:dLbl>
              <c:idx val="1"/>
              <c:tx>
                <c:rich>
                  <a:bodyPr/>
                  <a:lstStyle/>
                  <a:p>
                    <a:pPr>
                      <a:defRPr sz="1000" b="1" i="0" u="none" strike="noStrike" baseline="0">
                        <a:solidFill>
                          <a:srgbClr val="000000"/>
                        </a:solidFill>
                        <a:latin typeface="Calibri"/>
                        <a:ea typeface="Calibri"/>
                        <a:cs typeface="Calibri"/>
                      </a:defRPr>
                    </a:pPr>
                    <a:r>
                      <a:rPr lang="en-US"/>
                      <a:t>Veranderlike koste</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FF-4536-A697-622B699DC478}"/>
                </c:ext>
              </c:extLst>
            </c:dLbl>
            <c:dLbl>
              <c:idx val="2"/>
              <c:tx>
                <c:rich>
                  <a:bodyPr/>
                  <a:lstStyle/>
                  <a:p>
                    <a:pPr>
                      <a:defRPr sz="1000" b="1" i="0" u="none" strike="noStrike" baseline="0">
                        <a:solidFill>
                          <a:srgbClr val="000000"/>
                        </a:solidFill>
                        <a:latin typeface="Calibri"/>
                        <a:ea typeface="Calibri"/>
                        <a:cs typeface="Calibri"/>
                      </a:defRPr>
                    </a:pPr>
                    <a:r>
                      <a:rPr lang="en-US"/>
                      <a:t>Vaste koste</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FF-4536-A697-622B699DC478}"/>
                </c:ext>
              </c:extLst>
            </c:dLbl>
            <c:dLbl>
              <c:idx val="3"/>
              <c:tx>
                <c:rich>
                  <a:bodyPr/>
                  <a:lstStyle/>
                  <a:p>
                    <a:pPr>
                      <a:defRPr sz="1000" b="1" i="0" u="none" strike="noStrike" baseline="0">
                        <a:solidFill>
                          <a:srgbClr val="000000"/>
                        </a:solidFill>
                        <a:latin typeface="Calibri"/>
                        <a:ea typeface="Calibri"/>
                        <a:cs typeface="Calibri"/>
                      </a:defRPr>
                    </a:pPr>
                    <a:r>
                      <a:rPr lang="en-US"/>
                      <a:t>Wins</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FF-4536-A697-622B699DC478}"/>
                </c:ext>
              </c:extLst>
            </c:dLbl>
            <c:dLbl>
              <c:idx val="4"/>
              <c:delete val="1"/>
              <c:extLst>
                <c:ext xmlns:c15="http://schemas.microsoft.com/office/drawing/2012/chart" uri="{CE6537A1-D6FC-4f65-9D91-7224C49458BB}"/>
                <c:ext xmlns:c16="http://schemas.microsoft.com/office/drawing/2014/chart" uri="{C3380CC4-5D6E-409C-BE32-E72D297353CC}">
                  <c16:uniqueId val="{00000004-82FF-4536-A697-622B699DC478}"/>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Calibri"/>
                    <a:ea typeface="Calibri"/>
                    <a:cs typeface="Calibri"/>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val>
            <c:numRef>
              <c:f>Grafieke!$C$19:$C$23</c:f>
              <c:numCache>
                <c:formatCode>0</c:formatCode>
                <c:ptCount val="5"/>
                <c:pt idx="0" formatCode="General">
                  <c:v>0</c:v>
                </c:pt>
                <c:pt idx="1">
                  <c:v>32.779868080541711</c:v>
                </c:pt>
                <c:pt idx="2">
                  <c:v>21.6320911845471</c:v>
                </c:pt>
                <c:pt idx="3">
                  <c:v>45.588040734911182</c:v>
                </c:pt>
                <c:pt idx="4" formatCode="General">
                  <c:v>100</c:v>
                </c:pt>
              </c:numCache>
            </c:numRef>
          </c:val>
          <c:extLst>
            <c:ext xmlns:c16="http://schemas.microsoft.com/office/drawing/2014/chart" uri="{C3380CC4-5D6E-409C-BE32-E72D297353CC}">
              <c16:uniqueId val="{00000005-82FF-4536-A697-622B699DC478}"/>
            </c:ext>
          </c:extLst>
        </c:ser>
        <c:dLbls>
          <c:showLegendKey val="0"/>
          <c:showVal val="0"/>
          <c:showCatName val="0"/>
          <c:showSerName val="0"/>
          <c:showPercent val="0"/>
          <c:showBubbleSize val="0"/>
          <c:showLeaderLines val="0"/>
        </c:dLbls>
        <c:firstSliceAng val="270"/>
        <c:holeSize val="50"/>
      </c:doughnutChart>
      <c:pieChart>
        <c:varyColors val="1"/>
        <c:ser>
          <c:idx val="1"/>
          <c:order val="1"/>
          <c:tx>
            <c:strRef>
              <c:f>Grafieke!$D$18</c:f>
              <c:strCache>
                <c:ptCount val="1"/>
                <c:pt idx="0">
                  <c:v>Pointer</c:v>
                </c:pt>
              </c:strCache>
            </c:strRef>
          </c:tx>
          <c:dPt>
            <c:idx val="0"/>
            <c:bubble3D val="0"/>
            <c:spPr>
              <a:noFill/>
              <a:ln w="25400">
                <a:noFill/>
              </a:ln>
            </c:spPr>
            <c:extLst>
              <c:ext xmlns:c16="http://schemas.microsoft.com/office/drawing/2014/chart" uri="{C3380CC4-5D6E-409C-BE32-E72D297353CC}">
                <c16:uniqueId val="{00000006-82FF-4536-A697-622B699DC478}"/>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82FF-4536-A697-622B699DC478}"/>
              </c:ext>
            </c:extLst>
          </c:dPt>
          <c:dPt>
            <c:idx val="2"/>
            <c:bubble3D val="0"/>
            <c:spPr>
              <a:noFill/>
              <a:ln w="25400">
                <a:noFill/>
              </a:ln>
            </c:spPr>
            <c:extLst>
              <c:ext xmlns:c16="http://schemas.microsoft.com/office/drawing/2014/chart" uri="{C3380CC4-5D6E-409C-BE32-E72D297353CC}">
                <c16:uniqueId val="{00000008-82FF-4536-A697-622B699DC478}"/>
              </c:ext>
            </c:extLst>
          </c:dPt>
          <c:val>
            <c:numRef>
              <c:f>Grafieke!$F$19:$F$21</c:f>
              <c:numCache>
                <c:formatCode>General</c:formatCode>
                <c:ptCount val="3"/>
                <c:pt idx="0" formatCode="0">
                  <c:v>45.588040734911182</c:v>
                </c:pt>
                <c:pt idx="1">
                  <c:v>1</c:v>
                </c:pt>
                <c:pt idx="2" formatCode="0">
                  <c:v>153.41195926508883</c:v>
                </c:pt>
              </c:numCache>
            </c:numRef>
          </c:val>
          <c:extLst>
            <c:ext xmlns:c16="http://schemas.microsoft.com/office/drawing/2014/chart" uri="{C3380CC4-5D6E-409C-BE32-E72D297353CC}">
              <c16:uniqueId val="{00000009-82FF-4536-A697-622B699DC478}"/>
            </c:ext>
          </c:extLst>
        </c:ser>
        <c:dLbls>
          <c:showLegendKey val="0"/>
          <c:showVal val="0"/>
          <c:showCatName val="0"/>
          <c:showSerName val="0"/>
          <c:showPercent val="0"/>
          <c:showBubbleSize val="0"/>
          <c:showLeaderLines val="1"/>
        </c:dLbls>
        <c:firstSliceAng val="270"/>
      </c:pieChart>
      <c:spPr>
        <a:noFill/>
        <a:ln w="25400">
          <a:noFill/>
        </a:ln>
      </c:spPr>
    </c:plotArea>
    <c:plotVisOnly val="1"/>
    <c:dispBlanksAs val="gap"/>
    <c:showDLblsOverMax val="0"/>
  </c:chart>
  <c:spPr>
    <a:solidFill>
      <a:schemeClr val="bg1"/>
    </a:solidFill>
    <a:ln w="9525" cap="flat" cmpd="sng" algn="ctr">
      <a:solidFill>
        <a:schemeClr val="tx1"/>
      </a:solidFill>
      <a:round/>
    </a:ln>
    <a:effectLst/>
  </c:spPr>
  <c:txPr>
    <a:bodyPr/>
    <a:lstStyle/>
    <a:p>
      <a:pPr>
        <a:defRPr sz="1000" b="1"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ZA"/>
              <a:t>Sojaboonwinsgewendheid</a:t>
            </a:r>
          </a:p>
        </c:rich>
      </c:tx>
      <c:overlay val="0"/>
    </c:title>
    <c:autoTitleDeleted val="0"/>
    <c:plotArea>
      <c:layout>
        <c:manualLayout>
          <c:layoutTarget val="inner"/>
          <c:xMode val="edge"/>
          <c:yMode val="edge"/>
          <c:x val="0.35831684027777777"/>
          <c:y val="0.26428412698412695"/>
          <c:w val="0.27454704861111112"/>
          <c:h val="0.62753611111111107"/>
        </c:manualLayout>
      </c:layout>
      <c:doughnutChart>
        <c:varyColors val="1"/>
        <c:ser>
          <c:idx val="0"/>
          <c:order val="0"/>
          <c:tx>
            <c:strRef>
              <c:f>Grafieke!$A$35</c:f>
              <c:strCache>
                <c:ptCount val="1"/>
                <c:pt idx="0">
                  <c:v>Winsgewendheid: Sojabone</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0-CB6F-4B6E-BD7C-377FA70569F1}"/>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CB6F-4B6E-BD7C-377FA70569F1}"/>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2-CB6F-4B6E-BD7C-377FA70569F1}"/>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CB6F-4B6E-BD7C-377FA70569F1}"/>
              </c:ext>
            </c:extLst>
          </c:dPt>
          <c:dPt>
            <c:idx val="4"/>
            <c:bubble3D val="0"/>
            <c:spPr>
              <a:noFill/>
              <a:ln w="25400">
                <a:noFill/>
              </a:ln>
            </c:spPr>
            <c:extLst>
              <c:ext xmlns:c16="http://schemas.microsoft.com/office/drawing/2014/chart" uri="{C3380CC4-5D6E-409C-BE32-E72D297353CC}">
                <c16:uniqueId val="{00000004-CB6F-4B6E-BD7C-377FA70569F1}"/>
              </c:ext>
            </c:extLst>
          </c:dPt>
          <c:dLbls>
            <c:dLbl>
              <c:idx val="0"/>
              <c:delete val="1"/>
              <c:extLst>
                <c:ext xmlns:c15="http://schemas.microsoft.com/office/drawing/2012/chart" uri="{CE6537A1-D6FC-4f65-9D91-7224C49458BB}"/>
                <c:ext xmlns:c16="http://schemas.microsoft.com/office/drawing/2014/chart" uri="{C3380CC4-5D6E-409C-BE32-E72D297353CC}">
                  <c16:uniqueId val="{00000000-CB6F-4B6E-BD7C-377FA70569F1}"/>
                </c:ext>
              </c:extLst>
            </c:dLbl>
            <c:dLbl>
              <c:idx val="1"/>
              <c:tx>
                <c:rich>
                  <a:bodyPr/>
                  <a:lstStyle/>
                  <a:p>
                    <a:pPr>
                      <a:defRPr sz="1100" b="1" i="0" u="none" strike="noStrike" baseline="0">
                        <a:solidFill>
                          <a:srgbClr val="000000"/>
                        </a:solidFill>
                        <a:latin typeface="Calibri"/>
                        <a:ea typeface="Calibri"/>
                        <a:cs typeface="Calibri"/>
                      </a:defRPr>
                    </a:pPr>
                    <a:r>
                      <a:rPr lang="en-US"/>
                      <a:t>Veranderlike koste</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B6F-4B6E-BD7C-377FA70569F1}"/>
                </c:ext>
              </c:extLst>
            </c:dLbl>
            <c:dLbl>
              <c:idx val="2"/>
              <c:tx>
                <c:rich>
                  <a:bodyPr/>
                  <a:lstStyle/>
                  <a:p>
                    <a:pPr>
                      <a:defRPr sz="1100" b="1" i="0" u="none" strike="noStrike" baseline="0">
                        <a:solidFill>
                          <a:srgbClr val="000000"/>
                        </a:solidFill>
                        <a:latin typeface="Calibri"/>
                        <a:ea typeface="Calibri"/>
                        <a:cs typeface="Calibri"/>
                      </a:defRPr>
                    </a:pPr>
                    <a:r>
                      <a:rPr lang="en-US"/>
                      <a:t>Vaste koste</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B6F-4B6E-BD7C-377FA70569F1}"/>
                </c:ext>
              </c:extLst>
            </c:dLbl>
            <c:dLbl>
              <c:idx val="3"/>
              <c:tx>
                <c:rich>
                  <a:bodyPr/>
                  <a:lstStyle/>
                  <a:p>
                    <a:pPr>
                      <a:defRPr sz="1100" b="1" i="0" u="none" strike="noStrike" baseline="0">
                        <a:solidFill>
                          <a:srgbClr val="000000"/>
                        </a:solidFill>
                        <a:latin typeface="Calibri"/>
                        <a:ea typeface="Calibri"/>
                        <a:cs typeface="Calibri"/>
                      </a:defRPr>
                    </a:pPr>
                    <a:r>
                      <a:rPr lang="en-US"/>
                      <a:t>Wins</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B6F-4B6E-BD7C-377FA70569F1}"/>
                </c:ext>
              </c:extLst>
            </c:dLbl>
            <c:dLbl>
              <c:idx val="4"/>
              <c:delete val="1"/>
              <c:extLst>
                <c:ext xmlns:c15="http://schemas.microsoft.com/office/drawing/2012/chart" uri="{CE6537A1-D6FC-4f65-9D91-7224C49458BB}"/>
                <c:ext xmlns:c16="http://schemas.microsoft.com/office/drawing/2014/chart" uri="{C3380CC4-5D6E-409C-BE32-E72D297353CC}">
                  <c16:uniqueId val="{00000004-CB6F-4B6E-BD7C-377FA70569F1}"/>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Calibri"/>
                    <a:ea typeface="Calibri"/>
                    <a:cs typeface="Calibri"/>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val>
            <c:numRef>
              <c:f>Grafieke!$C$36:$C$40</c:f>
              <c:numCache>
                <c:formatCode>0</c:formatCode>
                <c:ptCount val="5"/>
                <c:pt idx="0" formatCode="General">
                  <c:v>0</c:v>
                </c:pt>
                <c:pt idx="1">
                  <c:v>34.192779900136117</c:v>
                </c:pt>
                <c:pt idx="2">
                  <c:v>17.074921029284653</c:v>
                </c:pt>
                <c:pt idx="3">
                  <c:v>48.732299070579238</c:v>
                </c:pt>
                <c:pt idx="4" formatCode="General">
                  <c:v>100</c:v>
                </c:pt>
              </c:numCache>
            </c:numRef>
          </c:val>
          <c:extLst>
            <c:ext xmlns:c16="http://schemas.microsoft.com/office/drawing/2014/chart" uri="{C3380CC4-5D6E-409C-BE32-E72D297353CC}">
              <c16:uniqueId val="{00000005-CB6F-4B6E-BD7C-377FA70569F1}"/>
            </c:ext>
          </c:extLst>
        </c:ser>
        <c:dLbls>
          <c:showLegendKey val="0"/>
          <c:showVal val="0"/>
          <c:showCatName val="0"/>
          <c:showSerName val="0"/>
          <c:showPercent val="0"/>
          <c:showBubbleSize val="0"/>
          <c:showLeaderLines val="0"/>
        </c:dLbls>
        <c:firstSliceAng val="270"/>
        <c:holeSize val="50"/>
      </c:doughnutChart>
      <c:pieChart>
        <c:varyColors val="1"/>
        <c:ser>
          <c:idx val="1"/>
          <c:order val="1"/>
          <c:tx>
            <c:strRef>
              <c:f>[1]Grafieke!$D$35</c:f>
              <c:strCache>
                <c:ptCount val="1"/>
                <c:pt idx="0">
                  <c:v>Pointer</c:v>
                </c:pt>
              </c:strCache>
            </c:strRef>
          </c:tx>
          <c:dPt>
            <c:idx val="0"/>
            <c:bubble3D val="0"/>
            <c:spPr>
              <a:noFill/>
            </c:spPr>
            <c:extLst>
              <c:ext xmlns:c16="http://schemas.microsoft.com/office/drawing/2014/chart" uri="{C3380CC4-5D6E-409C-BE32-E72D297353CC}">
                <c16:uniqueId val="{00000006-CB6F-4B6E-BD7C-377FA70569F1}"/>
              </c:ext>
            </c:extLst>
          </c:dPt>
          <c:dPt>
            <c:idx val="1"/>
            <c:bubble3D val="0"/>
            <c:spPr>
              <a:solidFill>
                <a:schemeClr val="tx1"/>
              </a:solidFill>
            </c:spPr>
            <c:extLst>
              <c:ext xmlns:c16="http://schemas.microsoft.com/office/drawing/2014/chart" uri="{C3380CC4-5D6E-409C-BE32-E72D297353CC}">
                <c16:uniqueId val="{00000007-CB6F-4B6E-BD7C-377FA70569F1}"/>
              </c:ext>
            </c:extLst>
          </c:dPt>
          <c:dPt>
            <c:idx val="2"/>
            <c:bubble3D val="0"/>
            <c:spPr>
              <a:noFill/>
            </c:spPr>
            <c:extLst>
              <c:ext xmlns:c16="http://schemas.microsoft.com/office/drawing/2014/chart" uri="{C3380CC4-5D6E-409C-BE32-E72D297353CC}">
                <c16:uniqueId val="{00000008-CB6F-4B6E-BD7C-377FA70569F1}"/>
              </c:ext>
            </c:extLst>
          </c:dPt>
          <c:val>
            <c:numRef>
              <c:f>[1]Grafieke!$F$36:$F$38</c:f>
              <c:numCache>
                <c:formatCode>General</c:formatCode>
                <c:ptCount val="3"/>
                <c:pt idx="0">
                  <c:v>55.906350089438725</c:v>
                </c:pt>
                <c:pt idx="1">
                  <c:v>1</c:v>
                </c:pt>
                <c:pt idx="2">
                  <c:v>143.09364991056128</c:v>
                </c:pt>
              </c:numCache>
            </c:numRef>
          </c:val>
          <c:extLst>
            <c:ext xmlns:c16="http://schemas.microsoft.com/office/drawing/2014/chart" uri="{C3380CC4-5D6E-409C-BE32-E72D297353CC}">
              <c16:uniqueId val="{00000009-CB6F-4B6E-BD7C-377FA70569F1}"/>
            </c:ext>
          </c:extLst>
        </c:ser>
        <c:dLbls>
          <c:showLegendKey val="0"/>
          <c:showVal val="0"/>
          <c:showCatName val="0"/>
          <c:showSerName val="0"/>
          <c:showPercent val="0"/>
          <c:showBubbleSize val="0"/>
          <c:showLeaderLines val="1"/>
        </c:dLbls>
        <c:firstSliceAng val="270"/>
      </c:pieChart>
      <c:spPr>
        <a:noFill/>
        <a:ln w="25400">
          <a:noFill/>
        </a:ln>
      </c:spPr>
    </c:plotArea>
    <c:plotVisOnly val="1"/>
    <c:dispBlanksAs val="gap"/>
    <c:showDLblsOverMax val="0"/>
  </c:chart>
  <c:spPr>
    <a:solidFill>
      <a:schemeClr val="bg1"/>
    </a:solidFill>
    <a:ln w="9525" cap="flat" cmpd="sng" algn="ctr">
      <a:solidFill>
        <a:schemeClr val="tx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ZA"/>
              <a:t>Sorghum profitability</a:t>
            </a:r>
          </a:p>
        </c:rich>
      </c:tx>
      <c:overlay val="0"/>
    </c:title>
    <c:autoTitleDeleted val="0"/>
    <c:plotArea>
      <c:layout/>
      <c:doughnutChart>
        <c:varyColors val="1"/>
        <c:ser>
          <c:idx val="0"/>
          <c:order val="0"/>
          <c:tx>
            <c:strRef>
              <c:f>[1]Grafieke!$A$35</c:f>
              <c:strCache>
                <c:ptCount val="1"/>
                <c:pt idx="0">
                  <c:v>Winsgewendheid: Sojabone</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0-0F3E-4B97-9C0C-A9D4CE43783C}"/>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0F3E-4B97-9C0C-A9D4CE43783C}"/>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2-0F3E-4B97-9C0C-A9D4CE43783C}"/>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0F3E-4B97-9C0C-A9D4CE43783C}"/>
              </c:ext>
            </c:extLst>
          </c:dPt>
          <c:dPt>
            <c:idx val="4"/>
            <c:bubble3D val="0"/>
            <c:spPr>
              <a:noFill/>
              <a:ln w="25400">
                <a:noFill/>
              </a:ln>
            </c:spPr>
            <c:extLst>
              <c:ext xmlns:c16="http://schemas.microsoft.com/office/drawing/2014/chart" uri="{C3380CC4-5D6E-409C-BE32-E72D297353CC}">
                <c16:uniqueId val="{00000004-0F3E-4B97-9C0C-A9D4CE43783C}"/>
              </c:ext>
            </c:extLst>
          </c:dPt>
          <c:dLbls>
            <c:dLbl>
              <c:idx val="0"/>
              <c:delete val="1"/>
              <c:extLst>
                <c:ext xmlns:c15="http://schemas.microsoft.com/office/drawing/2012/chart" uri="{CE6537A1-D6FC-4f65-9D91-7224C49458BB}"/>
                <c:ext xmlns:c16="http://schemas.microsoft.com/office/drawing/2014/chart" uri="{C3380CC4-5D6E-409C-BE32-E72D297353CC}">
                  <c16:uniqueId val="{00000000-0F3E-4B97-9C0C-A9D4CE43783C}"/>
                </c:ext>
              </c:extLst>
            </c:dLbl>
            <c:dLbl>
              <c:idx val="1"/>
              <c:tx>
                <c:rich>
                  <a:bodyPr/>
                  <a:lstStyle/>
                  <a:p>
                    <a:pPr>
                      <a:defRPr sz="1100" b="1" i="0" u="none" strike="noStrike" baseline="0">
                        <a:solidFill>
                          <a:srgbClr val="000000"/>
                        </a:solidFill>
                        <a:latin typeface="Calibri"/>
                        <a:ea typeface="Calibri"/>
                        <a:cs typeface="Calibri"/>
                      </a:defRPr>
                    </a:pPr>
                    <a:r>
                      <a:rPr lang="en-US"/>
                      <a:t>Variable cost</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F3E-4B97-9C0C-A9D4CE43783C}"/>
                </c:ext>
              </c:extLst>
            </c:dLbl>
            <c:dLbl>
              <c:idx val="2"/>
              <c:tx>
                <c:rich>
                  <a:bodyPr/>
                  <a:lstStyle/>
                  <a:p>
                    <a:pPr>
                      <a:defRPr sz="1100" b="1" i="0" u="none" strike="noStrike" baseline="0">
                        <a:solidFill>
                          <a:srgbClr val="000000"/>
                        </a:solidFill>
                        <a:latin typeface="Calibri"/>
                        <a:ea typeface="Calibri"/>
                        <a:cs typeface="Calibri"/>
                      </a:defRPr>
                    </a:pPr>
                    <a:r>
                      <a:rPr lang="en-US"/>
                      <a:t>Fixed cost</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F3E-4B97-9C0C-A9D4CE43783C}"/>
                </c:ext>
              </c:extLst>
            </c:dLbl>
            <c:dLbl>
              <c:idx val="3"/>
              <c:tx>
                <c:rich>
                  <a:bodyPr/>
                  <a:lstStyle/>
                  <a:p>
                    <a:pPr>
                      <a:defRPr sz="1100" b="1" i="0" u="none" strike="noStrike" baseline="0">
                        <a:solidFill>
                          <a:srgbClr val="000000"/>
                        </a:solidFill>
                        <a:latin typeface="Calibri"/>
                        <a:ea typeface="Calibri"/>
                        <a:cs typeface="Calibri"/>
                      </a:defRPr>
                    </a:pPr>
                    <a:r>
                      <a:rPr lang="en-US"/>
                      <a:t>Profit</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F3E-4B97-9C0C-A9D4CE43783C}"/>
                </c:ext>
              </c:extLst>
            </c:dLbl>
            <c:dLbl>
              <c:idx val="4"/>
              <c:delete val="1"/>
              <c:extLst>
                <c:ext xmlns:c15="http://schemas.microsoft.com/office/drawing/2012/chart" uri="{CE6537A1-D6FC-4f65-9D91-7224C49458BB}"/>
                <c:ext xmlns:c16="http://schemas.microsoft.com/office/drawing/2014/chart" uri="{C3380CC4-5D6E-409C-BE32-E72D297353CC}">
                  <c16:uniqueId val="{00000004-0F3E-4B97-9C0C-A9D4CE43783C}"/>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Calibri"/>
                    <a:ea typeface="Calibri"/>
                    <a:cs typeface="Calibri"/>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val>
            <c:numRef>
              <c:f>[1]Grafieke!$C$36:$C$40</c:f>
              <c:numCache>
                <c:formatCode>General</c:formatCode>
                <c:ptCount val="5"/>
                <c:pt idx="0">
                  <c:v>0</c:v>
                </c:pt>
                <c:pt idx="1">
                  <c:v>37.588510366739939</c:v>
                </c:pt>
                <c:pt idx="2">
                  <c:v>6.5051395438213433</c:v>
                </c:pt>
                <c:pt idx="3">
                  <c:v>55.906350089438725</c:v>
                </c:pt>
                <c:pt idx="4">
                  <c:v>100</c:v>
                </c:pt>
              </c:numCache>
            </c:numRef>
          </c:val>
          <c:extLst>
            <c:ext xmlns:c16="http://schemas.microsoft.com/office/drawing/2014/chart" uri="{C3380CC4-5D6E-409C-BE32-E72D297353CC}">
              <c16:uniqueId val="{00000005-0F3E-4B97-9C0C-A9D4CE43783C}"/>
            </c:ext>
          </c:extLst>
        </c:ser>
        <c:dLbls>
          <c:showLegendKey val="0"/>
          <c:showVal val="0"/>
          <c:showCatName val="0"/>
          <c:showSerName val="0"/>
          <c:showPercent val="0"/>
          <c:showBubbleSize val="0"/>
          <c:showLeaderLines val="0"/>
        </c:dLbls>
        <c:firstSliceAng val="270"/>
        <c:holeSize val="50"/>
      </c:doughnutChart>
      <c:pieChart>
        <c:varyColors val="1"/>
        <c:ser>
          <c:idx val="1"/>
          <c:order val="1"/>
          <c:tx>
            <c:strRef>
              <c:f>[1]Grafieke!$D$35</c:f>
              <c:strCache>
                <c:ptCount val="1"/>
                <c:pt idx="0">
                  <c:v>Pointer</c:v>
                </c:pt>
              </c:strCache>
            </c:strRef>
          </c:tx>
          <c:dPt>
            <c:idx val="0"/>
            <c:bubble3D val="0"/>
            <c:spPr>
              <a:noFill/>
            </c:spPr>
            <c:extLst>
              <c:ext xmlns:c16="http://schemas.microsoft.com/office/drawing/2014/chart" uri="{C3380CC4-5D6E-409C-BE32-E72D297353CC}">
                <c16:uniqueId val="{00000006-0F3E-4B97-9C0C-A9D4CE43783C}"/>
              </c:ext>
            </c:extLst>
          </c:dPt>
          <c:dPt>
            <c:idx val="1"/>
            <c:bubble3D val="0"/>
            <c:spPr>
              <a:solidFill>
                <a:schemeClr val="tx1"/>
              </a:solidFill>
            </c:spPr>
            <c:extLst>
              <c:ext xmlns:c16="http://schemas.microsoft.com/office/drawing/2014/chart" uri="{C3380CC4-5D6E-409C-BE32-E72D297353CC}">
                <c16:uniqueId val="{00000007-0F3E-4B97-9C0C-A9D4CE43783C}"/>
              </c:ext>
            </c:extLst>
          </c:dPt>
          <c:dPt>
            <c:idx val="2"/>
            <c:bubble3D val="0"/>
            <c:spPr>
              <a:noFill/>
            </c:spPr>
            <c:extLst>
              <c:ext xmlns:c16="http://schemas.microsoft.com/office/drawing/2014/chart" uri="{C3380CC4-5D6E-409C-BE32-E72D297353CC}">
                <c16:uniqueId val="{00000008-0F3E-4B97-9C0C-A9D4CE43783C}"/>
              </c:ext>
            </c:extLst>
          </c:dPt>
          <c:val>
            <c:numRef>
              <c:f>[1]Grafieke!$F$36:$F$38</c:f>
              <c:numCache>
                <c:formatCode>General</c:formatCode>
                <c:ptCount val="3"/>
                <c:pt idx="0">
                  <c:v>55.906350089438725</c:v>
                </c:pt>
                <c:pt idx="1">
                  <c:v>1</c:v>
                </c:pt>
                <c:pt idx="2">
                  <c:v>143.09364991056128</c:v>
                </c:pt>
              </c:numCache>
            </c:numRef>
          </c:val>
          <c:extLst>
            <c:ext xmlns:c16="http://schemas.microsoft.com/office/drawing/2014/chart" uri="{C3380CC4-5D6E-409C-BE32-E72D297353CC}">
              <c16:uniqueId val="{00000009-0F3E-4B97-9C0C-A9D4CE43783C}"/>
            </c:ext>
          </c:extLst>
        </c:ser>
        <c:dLbls>
          <c:showLegendKey val="0"/>
          <c:showVal val="0"/>
          <c:showCatName val="0"/>
          <c:showSerName val="0"/>
          <c:showPercent val="0"/>
          <c:showBubbleSize val="0"/>
          <c:showLeaderLines val="1"/>
        </c:dLbls>
        <c:firstSliceAng val="270"/>
      </c:pieChart>
      <c:spPr>
        <a:noFill/>
        <a:ln w="25400">
          <a:noFill/>
        </a:ln>
      </c:spPr>
    </c:plotArea>
    <c:plotVisOnly val="1"/>
    <c:dispBlanksAs val="gap"/>
    <c:showDLblsOverMax val="0"/>
  </c:chart>
  <c:spPr>
    <a:solidFill>
      <a:schemeClr val="bg1"/>
    </a:solidFill>
    <a:ln w="9525" cap="flat" cmpd="sng" algn="ctr">
      <a:solidFill>
        <a:schemeClr val="tx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ZA"/>
              <a:t>Maize profitability</a:t>
            </a:r>
          </a:p>
        </c:rich>
      </c:tx>
      <c:overlay val="0"/>
    </c:title>
    <c:autoTitleDeleted val="0"/>
    <c:plotArea>
      <c:layout/>
      <c:doughnutChart>
        <c:varyColors val="1"/>
        <c:ser>
          <c:idx val="0"/>
          <c:order val="0"/>
          <c:tx>
            <c:strRef>
              <c:f>Grafieke!$A$1</c:f>
              <c:strCache>
                <c:ptCount val="1"/>
                <c:pt idx="0">
                  <c:v>Winsgewendheid: Mielies</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0-38F6-488B-BC23-94EA871ACFC1}"/>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38F6-488B-BC23-94EA871ACFC1}"/>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2-38F6-488B-BC23-94EA871ACFC1}"/>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38F6-488B-BC23-94EA871ACFC1}"/>
              </c:ext>
            </c:extLst>
          </c:dPt>
          <c:dPt>
            <c:idx val="4"/>
            <c:bubble3D val="0"/>
            <c:spPr>
              <a:noFill/>
              <a:ln w="25400">
                <a:noFill/>
              </a:ln>
            </c:spPr>
            <c:extLst>
              <c:ext xmlns:c16="http://schemas.microsoft.com/office/drawing/2014/chart" uri="{C3380CC4-5D6E-409C-BE32-E72D297353CC}">
                <c16:uniqueId val="{00000004-38F6-488B-BC23-94EA871ACFC1}"/>
              </c:ext>
            </c:extLst>
          </c:dPt>
          <c:dLbls>
            <c:dLbl>
              <c:idx val="0"/>
              <c:delete val="1"/>
              <c:extLst>
                <c:ext xmlns:c15="http://schemas.microsoft.com/office/drawing/2012/chart" uri="{CE6537A1-D6FC-4f65-9D91-7224C49458BB}"/>
                <c:ext xmlns:c16="http://schemas.microsoft.com/office/drawing/2014/chart" uri="{C3380CC4-5D6E-409C-BE32-E72D297353CC}">
                  <c16:uniqueId val="{00000000-38F6-488B-BC23-94EA871ACFC1}"/>
                </c:ext>
              </c:extLst>
            </c:dLbl>
            <c:dLbl>
              <c:idx val="1"/>
              <c:tx>
                <c:rich>
                  <a:bodyPr/>
                  <a:lstStyle/>
                  <a:p>
                    <a:pPr>
                      <a:defRPr sz="1100" b="1" i="0" u="none" strike="noStrike" baseline="0">
                        <a:solidFill>
                          <a:srgbClr val="000000"/>
                        </a:solidFill>
                        <a:latin typeface="Calibri"/>
                        <a:ea typeface="Calibri"/>
                        <a:cs typeface="Calibri"/>
                      </a:defRPr>
                    </a:pPr>
                    <a:r>
                      <a:rPr lang="en-US"/>
                      <a:t>Variable costs</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8F6-488B-BC23-94EA871ACFC1}"/>
                </c:ext>
              </c:extLst>
            </c:dLbl>
            <c:dLbl>
              <c:idx val="2"/>
              <c:tx>
                <c:rich>
                  <a:bodyPr/>
                  <a:lstStyle/>
                  <a:p>
                    <a:pPr>
                      <a:defRPr sz="1100" b="1" i="0" u="none" strike="noStrike" baseline="0">
                        <a:solidFill>
                          <a:srgbClr val="000000"/>
                        </a:solidFill>
                        <a:latin typeface="Calibri"/>
                        <a:ea typeface="Calibri"/>
                        <a:cs typeface="Calibri"/>
                      </a:defRPr>
                    </a:pPr>
                    <a:r>
                      <a:rPr lang="en-US"/>
                      <a:t>Fixed cost</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F6-488B-BC23-94EA871ACFC1}"/>
                </c:ext>
              </c:extLst>
            </c:dLbl>
            <c:dLbl>
              <c:idx val="3"/>
              <c:tx>
                <c:rich>
                  <a:bodyPr/>
                  <a:lstStyle/>
                  <a:p>
                    <a:pPr>
                      <a:defRPr sz="1100" b="1" i="0" u="none" strike="noStrike" baseline="0">
                        <a:solidFill>
                          <a:srgbClr val="000000"/>
                        </a:solidFill>
                        <a:latin typeface="Calibri"/>
                        <a:ea typeface="Calibri"/>
                        <a:cs typeface="Calibri"/>
                      </a:defRPr>
                    </a:pPr>
                    <a:r>
                      <a:rPr lang="en-US"/>
                      <a:t>Profit</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F6-488B-BC23-94EA871ACFC1}"/>
                </c:ext>
              </c:extLst>
            </c:dLbl>
            <c:dLbl>
              <c:idx val="4"/>
              <c:delete val="1"/>
              <c:extLst>
                <c:ext xmlns:c15="http://schemas.microsoft.com/office/drawing/2012/chart" uri="{CE6537A1-D6FC-4f65-9D91-7224C49458BB}"/>
                <c:ext xmlns:c16="http://schemas.microsoft.com/office/drawing/2014/chart" uri="{C3380CC4-5D6E-409C-BE32-E72D297353CC}">
                  <c16:uniqueId val="{00000004-38F6-488B-BC23-94EA871ACFC1}"/>
                </c:ext>
              </c:extLst>
            </c:dLbl>
            <c:spPr>
              <a:noFill/>
              <a:ln w="25400">
                <a:noFill/>
              </a:ln>
            </c:spPr>
            <c:txPr>
              <a:bodyPr wrap="square" lIns="38100" tIns="19050" rIns="38100" bIns="19050" anchor="ctr">
                <a:spAutoFit/>
              </a:bodyPr>
              <a:lstStyle/>
              <a:p>
                <a:pPr>
                  <a:defRPr sz="900" b="1" i="0" u="none" strike="noStrike" baseline="0">
                    <a:solidFill>
                      <a:srgbClr val="FFFFFF"/>
                    </a:solidFill>
                    <a:latin typeface="Calibri"/>
                    <a:ea typeface="Calibri"/>
                    <a:cs typeface="Calibri"/>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val>
            <c:numRef>
              <c:f>Grafieke!$C$2:$C$6</c:f>
              <c:numCache>
                <c:formatCode>0</c:formatCode>
                <c:ptCount val="5"/>
                <c:pt idx="0" formatCode="General">
                  <c:v>0</c:v>
                </c:pt>
                <c:pt idx="1">
                  <c:v>46</c:v>
                </c:pt>
                <c:pt idx="2">
                  <c:v>19.022103750293841</c:v>
                </c:pt>
                <c:pt idx="3">
                  <c:v>38.414267230680331</c:v>
                </c:pt>
                <c:pt idx="4" formatCode="General">
                  <c:v>100</c:v>
                </c:pt>
              </c:numCache>
            </c:numRef>
          </c:val>
          <c:extLst>
            <c:ext xmlns:c16="http://schemas.microsoft.com/office/drawing/2014/chart" uri="{C3380CC4-5D6E-409C-BE32-E72D297353CC}">
              <c16:uniqueId val="{00000005-38F6-488B-BC23-94EA871ACFC1}"/>
            </c:ext>
          </c:extLst>
        </c:ser>
        <c:dLbls>
          <c:showLegendKey val="0"/>
          <c:showVal val="0"/>
          <c:showCatName val="0"/>
          <c:showSerName val="0"/>
          <c:showPercent val="0"/>
          <c:showBubbleSize val="0"/>
          <c:showLeaderLines val="0"/>
        </c:dLbls>
        <c:firstSliceAng val="270"/>
        <c:holeSize val="50"/>
      </c:doughnutChart>
      <c:pieChart>
        <c:varyColors val="1"/>
        <c:ser>
          <c:idx val="1"/>
          <c:order val="1"/>
          <c:tx>
            <c:strRef>
              <c:f>Grafieke!$D$1</c:f>
              <c:strCache>
                <c:ptCount val="1"/>
                <c:pt idx="0">
                  <c:v>Pointer</c:v>
                </c:pt>
              </c:strCache>
            </c:strRef>
          </c:tx>
          <c:dPt>
            <c:idx val="0"/>
            <c:bubble3D val="0"/>
            <c:spPr>
              <a:noFill/>
              <a:ln w="25400">
                <a:noFill/>
              </a:ln>
            </c:spPr>
            <c:extLst>
              <c:ext xmlns:c16="http://schemas.microsoft.com/office/drawing/2014/chart" uri="{C3380CC4-5D6E-409C-BE32-E72D297353CC}">
                <c16:uniqueId val="{00000006-38F6-488B-BC23-94EA871ACFC1}"/>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38F6-488B-BC23-94EA871ACFC1}"/>
              </c:ext>
            </c:extLst>
          </c:dPt>
          <c:dPt>
            <c:idx val="2"/>
            <c:bubble3D val="0"/>
            <c:spPr>
              <a:noFill/>
              <a:ln w="25400">
                <a:noFill/>
              </a:ln>
            </c:spPr>
            <c:extLst>
              <c:ext xmlns:c16="http://schemas.microsoft.com/office/drawing/2014/chart" uri="{C3380CC4-5D6E-409C-BE32-E72D297353CC}">
                <c16:uniqueId val="{00000008-38F6-488B-BC23-94EA871ACFC1}"/>
              </c:ext>
            </c:extLst>
          </c:dPt>
          <c:val>
            <c:numRef>
              <c:f>Grafieke!$F$2:$F$4</c:f>
              <c:numCache>
                <c:formatCode>General</c:formatCode>
                <c:ptCount val="3"/>
                <c:pt idx="0" formatCode="0">
                  <c:v>38.414267230680331</c:v>
                </c:pt>
                <c:pt idx="1">
                  <c:v>1</c:v>
                </c:pt>
                <c:pt idx="2" formatCode="0">
                  <c:v>164.02210375029384</c:v>
                </c:pt>
              </c:numCache>
            </c:numRef>
          </c:val>
          <c:extLst>
            <c:ext xmlns:c16="http://schemas.microsoft.com/office/drawing/2014/chart" uri="{C3380CC4-5D6E-409C-BE32-E72D297353CC}">
              <c16:uniqueId val="{00000009-38F6-488B-BC23-94EA871ACFC1}"/>
            </c:ext>
          </c:extLst>
        </c:ser>
        <c:dLbls>
          <c:showLegendKey val="0"/>
          <c:showVal val="0"/>
          <c:showCatName val="0"/>
          <c:showSerName val="0"/>
          <c:showPercent val="0"/>
          <c:showBubbleSize val="0"/>
          <c:showLeaderLines val="1"/>
        </c:dLbls>
        <c:firstSliceAng val="270"/>
      </c:pieChart>
      <c:spPr>
        <a:noFill/>
        <a:ln w="25400">
          <a:noFill/>
        </a:ln>
      </c:spPr>
    </c:plotArea>
    <c:plotVisOnly val="1"/>
    <c:dispBlanksAs val="gap"/>
    <c:showDLblsOverMax val="0"/>
  </c:chart>
  <c:spPr>
    <a:solidFill>
      <a:schemeClr val="bg1"/>
    </a:solidFill>
    <a:ln w="9525" cap="flat" cmpd="sng" algn="ctr">
      <a:solidFill>
        <a:schemeClr val="tx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ZA"/>
              <a:t>Sunflower profitability</a:t>
            </a:r>
          </a:p>
        </c:rich>
      </c:tx>
      <c:overlay val="0"/>
    </c:title>
    <c:autoTitleDeleted val="0"/>
    <c:plotArea>
      <c:layout/>
      <c:doughnutChart>
        <c:varyColors val="1"/>
        <c:ser>
          <c:idx val="0"/>
          <c:order val="0"/>
          <c:tx>
            <c:strRef>
              <c:f>Grafieke!$A$1</c:f>
              <c:strCache>
                <c:ptCount val="1"/>
                <c:pt idx="0">
                  <c:v>Winsgewendheid: Mielies</c:v>
                </c:pt>
              </c:strCache>
            </c:strRef>
          </c:tx>
          <c:spPr>
            <a:solidFill>
              <a:srgbClr val="FFFF00"/>
            </a:solidFill>
          </c:spPr>
          <c:dPt>
            <c:idx val="0"/>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0-09ED-4923-BA77-7F441E563B99}"/>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09ED-4923-BA77-7F441E563B99}"/>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2-09ED-4923-BA77-7F441E563B99}"/>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09ED-4923-BA77-7F441E563B99}"/>
              </c:ext>
            </c:extLst>
          </c:dPt>
          <c:dPt>
            <c:idx val="4"/>
            <c:bubble3D val="0"/>
            <c:spPr>
              <a:noFill/>
              <a:ln w="25400">
                <a:noFill/>
              </a:ln>
            </c:spPr>
            <c:extLst>
              <c:ext xmlns:c16="http://schemas.microsoft.com/office/drawing/2014/chart" uri="{C3380CC4-5D6E-409C-BE32-E72D297353CC}">
                <c16:uniqueId val="{00000004-09ED-4923-BA77-7F441E563B99}"/>
              </c:ext>
            </c:extLst>
          </c:dPt>
          <c:dLbls>
            <c:dLbl>
              <c:idx val="0"/>
              <c:delete val="1"/>
              <c:extLst>
                <c:ext xmlns:c15="http://schemas.microsoft.com/office/drawing/2012/chart" uri="{CE6537A1-D6FC-4f65-9D91-7224C49458BB}"/>
                <c:ext xmlns:c16="http://schemas.microsoft.com/office/drawing/2014/chart" uri="{C3380CC4-5D6E-409C-BE32-E72D297353CC}">
                  <c16:uniqueId val="{00000000-09ED-4923-BA77-7F441E563B99}"/>
                </c:ext>
              </c:extLst>
            </c:dLbl>
            <c:dLbl>
              <c:idx val="1"/>
              <c:tx>
                <c:rich>
                  <a:bodyPr/>
                  <a:lstStyle/>
                  <a:p>
                    <a:pPr>
                      <a:defRPr sz="1100" b="1" i="0" u="none" strike="noStrike" baseline="0">
                        <a:solidFill>
                          <a:srgbClr val="FFFFFF"/>
                        </a:solidFill>
                        <a:latin typeface="Calibri"/>
                        <a:ea typeface="Calibri"/>
                        <a:cs typeface="Calibri"/>
                      </a:defRPr>
                    </a:pPr>
                    <a:r>
                      <a:rPr lang="en-US"/>
                      <a:t>Variable cost</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9ED-4923-BA77-7F441E563B99}"/>
                </c:ext>
              </c:extLst>
            </c:dLbl>
            <c:dLbl>
              <c:idx val="2"/>
              <c:tx>
                <c:rich>
                  <a:bodyPr/>
                  <a:lstStyle/>
                  <a:p>
                    <a:pPr>
                      <a:defRPr sz="1100" b="1" i="0" u="none" strike="noStrike" baseline="0">
                        <a:solidFill>
                          <a:srgbClr val="FFFFFF"/>
                        </a:solidFill>
                        <a:latin typeface="Calibri"/>
                        <a:ea typeface="Calibri"/>
                        <a:cs typeface="Calibri"/>
                      </a:defRPr>
                    </a:pPr>
                    <a:r>
                      <a:rPr lang="en-US"/>
                      <a:t>Fixed cost</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9ED-4923-BA77-7F441E563B99}"/>
                </c:ext>
              </c:extLst>
            </c:dLbl>
            <c:dLbl>
              <c:idx val="3"/>
              <c:tx>
                <c:rich>
                  <a:bodyPr/>
                  <a:lstStyle/>
                  <a:p>
                    <a:pPr>
                      <a:defRPr sz="1100" b="1" i="0" u="none" strike="noStrike" baseline="0">
                        <a:solidFill>
                          <a:srgbClr val="FFFFFF"/>
                        </a:solidFill>
                        <a:latin typeface="Calibri"/>
                        <a:ea typeface="Calibri"/>
                        <a:cs typeface="Calibri"/>
                      </a:defRPr>
                    </a:pPr>
                    <a:r>
                      <a:rPr lang="en-US"/>
                      <a:t>Profit</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ED-4923-BA77-7F441E563B99}"/>
                </c:ext>
              </c:extLst>
            </c:dLbl>
            <c:dLbl>
              <c:idx val="4"/>
              <c:delete val="1"/>
              <c:extLst>
                <c:ext xmlns:c15="http://schemas.microsoft.com/office/drawing/2012/chart" uri="{CE6537A1-D6FC-4f65-9D91-7224C49458BB}"/>
                <c:ext xmlns:c16="http://schemas.microsoft.com/office/drawing/2014/chart" uri="{C3380CC4-5D6E-409C-BE32-E72D297353CC}">
                  <c16:uniqueId val="{00000004-09ED-4923-BA77-7F441E563B99}"/>
                </c:ext>
              </c:extLst>
            </c:dLbl>
            <c:spPr>
              <a:noFill/>
              <a:ln w="25400">
                <a:noFill/>
              </a:ln>
            </c:spPr>
            <c:txPr>
              <a:bodyPr wrap="square" lIns="38100" tIns="19050" rIns="38100" bIns="19050" anchor="ctr">
                <a:spAutoFit/>
              </a:bodyPr>
              <a:lstStyle/>
              <a:p>
                <a:pPr>
                  <a:defRPr sz="1100" b="1" i="0" u="none" strike="noStrike" baseline="0">
                    <a:solidFill>
                      <a:srgbClr val="FFFFFF"/>
                    </a:solidFill>
                    <a:latin typeface="Calibri"/>
                    <a:ea typeface="Calibri"/>
                    <a:cs typeface="Calibri"/>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val>
            <c:numRef>
              <c:f>Grafieke!$C$19:$C$23</c:f>
              <c:numCache>
                <c:formatCode>0</c:formatCode>
                <c:ptCount val="5"/>
                <c:pt idx="0" formatCode="General">
                  <c:v>0</c:v>
                </c:pt>
                <c:pt idx="1">
                  <c:v>32.779868080541711</c:v>
                </c:pt>
                <c:pt idx="2">
                  <c:v>21.6320911845471</c:v>
                </c:pt>
                <c:pt idx="3">
                  <c:v>45.588040734911182</c:v>
                </c:pt>
                <c:pt idx="4" formatCode="General">
                  <c:v>100</c:v>
                </c:pt>
              </c:numCache>
            </c:numRef>
          </c:val>
          <c:extLst>
            <c:ext xmlns:c16="http://schemas.microsoft.com/office/drawing/2014/chart" uri="{C3380CC4-5D6E-409C-BE32-E72D297353CC}">
              <c16:uniqueId val="{00000005-09ED-4923-BA77-7F441E563B99}"/>
            </c:ext>
          </c:extLst>
        </c:ser>
        <c:dLbls>
          <c:showLegendKey val="0"/>
          <c:showVal val="0"/>
          <c:showCatName val="0"/>
          <c:showSerName val="0"/>
          <c:showPercent val="0"/>
          <c:showBubbleSize val="0"/>
          <c:showLeaderLines val="0"/>
        </c:dLbls>
        <c:firstSliceAng val="270"/>
        <c:holeSize val="50"/>
      </c:doughnutChart>
      <c:pieChart>
        <c:varyColors val="1"/>
        <c:ser>
          <c:idx val="1"/>
          <c:order val="1"/>
          <c:tx>
            <c:strRef>
              <c:f>Grafieke!$D$18</c:f>
              <c:strCache>
                <c:ptCount val="1"/>
                <c:pt idx="0">
                  <c:v>Pointer</c:v>
                </c:pt>
              </c:strCache>
            </c:strRef>
          </c:tx>
          <c:dPt>
            <c:idx val="0"/>
            <c:bubble3D val="0"/>
            <c:spPr>
              <a:noFill/>
              <a:ln w="25400">
                <a:noFill/>
              </a:ln>
            </c:spPr>
            <c:extLst>
              <c:ext xmlns:c16="http://schemas.microsoft.com/office/drawing/2014/chart" uri="{C3380CC4-5D6E-409C-BE32-E72D297353CC}">
                <c16:uniqueId val="{00000006-09ED-4923-BA77-7F441E563B99}"/>
              </c:ext>
            </c:extLst>
          </c:dPt>
          <c:dPt>
            <c:idx val="1"/>
            <c:bubble3D val="0"/>
            <c:spPr>
              <a:solidFill>
                <a:schemeClr val="tx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09ED-4923-BA77-7F441E563B99}"/>
              </c:ext>
            </c:extLst>
          </c:dPt>
          <c:dPt>
            <c:idx val="2"/>
            <c:bubble3D val="0"/>
            <c:spPr>
              <a:noFill/>
              <a:ln w="25400">
                <a:noFill/>
              </a:ln>
            </c:spPr>
            <c:extLst>
              <c:ext xmlns:c16="http://schemas.microsoft.com/office/drawing/2014/chart" uri="{C3380CC4-5D6E-409C-BE32-E72D297353CC}">
                <c16:uniqueId val="{00000008-09ED-4923-BA77-7F441E563B99}"/>
              </c:ext>
            </c:extLst>
          </c:dPt>
          <c:val>
            <c:numRef>
              <c:f>Grafieke!$F$19:$F$21</c:f>
              <c:numCache>
                <c:formatCode>General</c:formatCode>
                <c:ptCount val="3"/>
                <c:pt idx="0" formatCode="0">
                  <c:v>45.588040734911182</c:v>
                </c:pt>
                <c:pt idx="1">
                  <c:v>1</c:v>
                </c:pt>
                <c:pt idx="2" formatCode="0">
                  <c:v>153.41195926508883</c:v>
                </c:pt>
              </c:numCache>
            </c:numRef>
          </c:val>
          <c:extLst>
            <c:ext xmlns:c16="http://schemas.microsoft.com/office/drawing/2014/chart" uri="{C3380CC4-5D6E-409C-BE32-E72D297353CC}">
              <c16:uniqueId val="{00000009-09ED-4923-BA77-7F441E563B99}"/>
            </c:ext>
          </c:extLst>
        </c:ser>
        <c:dLbls>
          <c:showLegendKey val="0"/>
          <c:showVal val="0"/>
          <c:showCatName val="0"/>
          <c:showSerName val="0"/>
          <c:showPercent val="0"/>
          <c:showBubbleSize val="0"/>
          <c:showLeaderLines val="1"/>
        </c:dLbls>
        <c:firstSliceAng val="270"/>
      </c:pieChart>
      <c:spPr>
        <a:noFill/>
        <a:ln w="25400">
          <a:noFill/>
        </a:ln>
      </c:spPr>
    </c:plotArea>
    <c:plotVisOnly val="1"/>
    <c:dispBlanksAs val="gap"/>
    <c:showDLblsOverMax val="0"/>
  </c:chart>
  <c:spPr>
    <a:solidFill>
      <a:schemeClr val="bg1"/>
    </a:solidFill>
    <a:ln w="9525" cap="flat" cmpd="sng" algn="ctr">
      <a:solidFill>
        <a:schemeClr val="tx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ZA"/>
              <a:t>Soybeans profitability</a:t>
            </a:r>
          </a:p>
        </c:rich>
      </c:tx>
      <c:overlay val="0"/>
    </c:title>
    <c:autoTitleDeleted val="0"/>
    <c:plotArea>
      <c:layout/>
      <c:doughnutChart>
        <c:varyColors val="1"/>
        <c:ser>
          <c:idx val="0"/>
          <c:order val="0"/>
          <c:tx>
            <c:strRef>
              <c:f>Grafieke!$A$35</c:f>
              <c:strCache>
                <c:ptCount val="1"/>
                <c:pt idx="0">
                  <c:v>Winsgewendheid: Sojabone</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0-8317-457A-B7CF-6DBFC7CA5571}"/>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8317-457A-B7CF-6DBFC7CA5571}"/>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2-8317-457A-B7CF-6DBFC7CA5571}"/>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8317-457A-B7CF-6DBFC7CA5571}"/>
              </c:ext>
            </c:extLst>
          </c:dPt>
          <c:dPt>
            <c:idx val="4"/>
            <c:bubble3D val="0"/>
            <c:spPr>
              <a:noFill/>
              <a:ln w="25400">
                <a:noFill/>
              </a:ln>
            </c:spPr>
            <c:extLst>
              <c:ext xmlns:c16="http://schemas.microsoft.com/office/drawing/2014/chart" uri="{C3380CC4-5D6E-409C-BE32-E72D297353CC}">
                <c16:uniqueId val="{00000004-8317-457A-B7CF-6DBFC7CA5571}"/>
              </c:ext>
            </c:extLst>
          </c:dPt>
          <c:dLbls>
            <c:dLbl>
              <c:idx val="0"/>
              <c:delete val="1"/>
              <c:extLst>
                <c:ext xmlns:c15="http://schemas.microsoft.com/office/drawing/2012/chart" uri="{CE6537A1-D6FC-4f65-9D91-7224C49458BB}"/>
                <c:ext xmlns:c16="http://schemas.microsoft.com/office/drawing/2014/chart" uri="{C3380CC4-5D6E-409C-BE32-E72D297353CC}">
                  <c16:uniqueId val="{00000000-8317-457A-B7CF-6DBFC7CA5571}"/>
                </c:ext>
              </c:extLst>
            </c:dLbl>
            <c:dLbl>
              <c:idx val="1"/>
              <c:tx>
                <c:rich>
                  <a:bodyPr/>
                  <a:lstStyle/>
                  <a:p>
                    <a:pPr>
                      <a:defRPr sz="1100" b="1" i="0" u="none" strike="noStrike" baseline="0">
                        <a:solidFill>
                          <a:srgbClr val="FFFFFF"/>
                        </a:solidFill>
                        <a:latin typeface="Calibri"/>
                        <a:ea typeface="Calibri"/>
                        <a:cs typeface="Calibri"/>
                      </a:defRPr>
                    </a:pPr>
                    <a:r>
                      <a:rPr lang="en-US"/>
                      <a:t>Variable cost</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17-457A-B7CF-6DBFC7CA5571}"/>
                </c:ext>
              </c:extLst>
            </c:dLbl>
            <c:dLbl>
              <c:idx val="2"/>
              <c:tx>
                <c:rich>
                  <a:bodyPr/>
                  <a:lstStyle/>
                  <a:p>
                    <a:pPr>
                      <a:defRPr sz="1100" b="1" i="0" u="none" strike="noStrike" baseline="0">
                        <a:solidFill>
                          <a:srgbClr val="FFFFFF"/>
                        </a:solidFill>
                        <a:latin typeface="Calibri"/>
                        <a:ea typeface="Calibri"/>
                        <a:cs typeface="Calibri"/>
                      </a:defRPr>
                    </a:pPr>
                    <a:r>
                      <a:rPr lang="en-US"/>
                      <a:t>Fixed cost</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17-457A-B7CF-6DBFC7CA5571}"/>
                </c:ext>
              </c:extLst>
            </c:dLbl>
            <c:dLbl>
              <c:idx val="3"/>
              <c:tx>
                <c:rich>
                  <a:bodyPr/>
                  <a:lstStyle/>
                  <a:p>
                    <a:pPr>
                      <a:defRPr sz="1100" b="1" i="0" u="none" strike="noStrike" baseline="0">
                        <a:solidFill>
                          <a:srgbClr val="FFFFFF"/>
                        </a:solidFill>
                        <a:latin typeface="Calibri"/>
                        <a:ea typeface="Calibri"/>
                        <a:cs typeface="Calibri"/>
                      </a:defRPr>
                    </a:pPr>
                    <a:r>
                      <a:rPr lang="en-US"/>
                      <a:t>Profit</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17-457A-B7CF-6DBFC7CA5571}"/>
                </c:ext>
              </c:extLst>
            </c:dLbl>
            <c:dLbl>
              <c:idx val="4"/>
              <c:delete val="1"/>
              <c:extLst>
                <c:ext xmlns:c15="http://schemas.microsoft.com/office/drawing/2012/chart" uri="{CE6537A1-D6FC-4f65-9D91-7224C49458BB}"/>
                <c:ext xmlns:c16="http://schemas.microsoft.com/office/drawing/2014/chart" uri="{C3380CC4-5D6E-409C-BE32-E72D297353CC}">
                  <c16:uniqueId val="{00000004-8317-457A-B7CF-6DBFC7CA5571}"/>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Calibri"/>
                    <a:ea typeface="Calibri"/>
                    <a:cs typeface="Calibri"/>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val>
            <c:numRef>
              <c:f>Grafieke!$C$36:$C$40</c:f>
              <c:numCache>
                <c:formatCode>0</c:formatCode>
                <c:ptCount val="5"/>
                <c:pt idx="0" formatCode="General">
                  <c:v>0</c:v>
                </c:pt>
                <c:pt idx="1">
                  <c:v>34.192779900136117</c:v>
                </c:pt>
                <c:pt idx="2">
                  <c:v>17.074921029284653</c:v>
                </c:pt>
                <c:pt idx="3">
                  <c:v>48.732299070579238</c:v>
                </c:pt>
                <c:pt idx="4" formatCode="General">
                  <c:v>100</c:v>
                </c:pt>
              </c:numCache>
            </c:numRef>
          </c:val>
          <c:extLst>
            <c:ext xmlns:c16="http://schemas.microsoft.com/office/drawing/2014/chart" uri="{C3380CC4-5D6E-409C-BE32-E72D297353CC}">
              <c16:uniqueId val="{00000005-8317-457A-B7CF-6DBFC7CA5571}"/>
            </c:ext>
          </c:extLst>
        </c:ser>
        <c:dLbls>
          <c:showLegendKey val="0"/>
          <c:showVal val="0"/>
          <c:showCatName val="0"/>
          <c:showSerName val="0"/>
          <c:showPercent val="0"/>
          <c:showBubbleSize val="0"/>
          <c:showLeaderLines val="0"/>
        </c:dLbls>
        <c:firstSliceAng val="270"/>
        <c:holeSize val="50"/>
      </c:doughnutChart>
      <c:pieChart>
        <c:varyColors val="1"/>
        <c:ser>
          <c:idx val="1"/>
          <c:order val="1"/>
          <c:dPt>
            <c:idx val="0"/>
            <c:bubble3D val="0"/>
            <c:extLst>
              <c:ext xmlns:c16="http://schemas.microsoft.com/office/drawing/2014/chart" uri="{C3380CC4-5D6E-409C-BE32-E72D297353CC}">
                <c16:uniqueId val="{00000006-8317-457A-B7CF-6DBFC7CA5571}"/>
              </c:ext>
            </c:extLst>
          </c:dPt>
          <c:val>
            <c:numLit>
              <c:formatCode>General</c:formatCode>
              <c:ptCount val="1"/>
              <c:pt idx="0">
                <c:v>0</c:v>
              </c:pt>
            </c:numLit>
          </c:val>
          <c:extLst>
            <c:ext xmlns:c16="http://schemas.microsoft.com/office/drawing/2014/chart" uri="{C3380CC4-5D6E-409C-BE32-E72D297353CC}">
              <c16:uniqueId val="{00000007-8317-457A-B7CF-6DBFC7CA5571}"/>
            </c:ext>
          </c:extLst>
        </c:ser>
        <c:dLbls>
          <c:showLegendKey val="0"/>
          <c:showVal val="0"/>
          <c:showCatName val="0"/>
          <c:showSerName val="0"/>
          <c:showPercent val="0"/>
          <c:showBubbleSize val="0"/>
          <c:showLeaderLines val="1"/>
        </c:dLbls>
        <c:firstSliceAng val="270"/>
      </c:pieChart>
      <c:spPr>
        <a:noFill/>
        <a:ln w="25400">
          <a:noFill/>
        </a:ln>
      </c:spPr>
    </c:plotArea>
    <c:plotVisOnly val="1"/>
    <c:dispBlanksAs val="gap"/>
    <c:showDLblsOverMax val="0"/>
  </c:chart>
  <c:spPr>
    <a:solidFill>
      <a:schemeClr val="bg1"/>
    </a:solidFill>
    <a:ln w="9525" cap="flat" cmpd="sng" algn="ctr">
      <a:solidFill>
        <a:schemeClr val="tx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ZA"/>
              <a:t>Sorghumwinsgewendheid</a:t>
            </a:r>
          </a:p>
        </c:rich>
      </c:tx>
      <c:overlay val="0"/>
    </c:title>
    <c:autoTitleDeleted val="0"/>
    <c:plotArea>
      <c:layout/>
      <c:doughnutChart>
        <c:varyColors val="1"/>
        <c:ser>
          <c:idx val="0"/>
          <c:order val="0"/>
          <c:tx>
            <c:strRef>
              <c:f>Grafieke!$A$53</c:f>
              <c:strCache>
                <c:ptCount val="1"/>
                <c:pt idx="0">
                  <c:v>Winsgewendheid: Sorghum</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0-7917-43A1-893E-E4183D54A803}"/>
              </c:ext>
            </c:extLst>
          </c:dPt>
          <c:dPt>
            <c:idx val="1"/>
            <c:bubble3D val="0"/>
            <c:spPr>
              <a:solidFill>
                <a:srgbClr val="FF00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7917-43A1-893E-E4183D54A803}"/>
              </c:ext>
            </c:extLst>
          </c:dPt>
          <c:dPt>
            <c:idx val="2"/>
            <c:bubble3D val="0"/>
            <c:spPr>
              <a:solidFill>
                <a:srgbClr val="FFFF0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2-7917-43A1-893E-E4183D54A803}"/>
              </c:ext>
            </c:extLst>
          </c:dPt>
          <c:dPt>
            <c:idx val="3"/>
            <c:bubble3D val="0"/>
            <c:spPr>
              <a:solidFill>
                <a:srgbClr val="00B05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7917-43A1-893E-E4183D54A803}"/>
              </c:ext>
            </c:extLst>
          </c:dPt>
          <c:dPt>
            <c:idx val="4"/>
            <c:bubble3D val="0"/>
            <c:spPr>
              <a:noFill/>
              <a:ln w="25400">
                <a:noFill/>
              </a:ln>
            </c:spPr>
            <c:extLst>
              <c:ext xmlns:c16="http://schemas.microsoft.com/office/drawing/2014/chart" uri="{C3380CC4-5D6E-409C-BE32-E72D297353CC}">
                <c16:uniqueId val="{00000004-7917-43A1-893E-E4183D54A803}"/>
              </c:ext>
            </c:extLst>
          </c:dPt>
          <c:dLbls>
            <c:dLbl>
              <c:idx val="0"/>
              <c:delete val="1"/>
              <c:extLst>
                <c:ext xmlns:c15="http://schemas.microsoft.com/office/drawing/2012/chart" uri="{CE6537A1-D6FC-4f65-9D91-7224C49458BB}"/>
                <c:ext xmlns:c16="http://schemas.microsoft.com/office/drawing/2014/chart" uri="{C3380CC4-5D6E-409C-BE32-E72D297353CC}">
                  <c16:uniqueId val="{00000000-7917-43A1-893E-E4183D54A803}"/>
                </c:ext>
              </c:extLst>
            </c:dLbl>
            <c:dLbl>
              <c:idx val="1"/>
              <c:tx>
                <c:rich>
                  <a:bodyPr/>
                  <a:lstStyle/>
                  <a:p>
                    <a:pPr>
                      <a:defRPr sz="1100" b="1" i="0" u="none" strike="noStrike" baseline="0">
                        <a:solidFill>
                          <a:srgbClr val="000000"/>
                        </a:solidFill>
                        <a:latin typeface="Calibri"/>
                        <a:ea typeface="Calibri"/>
                        <a:cs typeface="Calibri"/>
                      </a:defRPr>
                    </a:pPr>
                    <a:r>
                      <a:rPr lang="en-US"/>
                      <a:t>Veranderlike koste</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917-43A1-893E-E4183D54A803}"/>
                </c:ext>
              </c:extLst>
            </c:dLbl>
            <c:dLbl>
              <c:idx val="2"/>
              <c:tx>
                <c:rich>
                  <a:bodyPr/>
                  <a:lstStyle/>
                  <a:p>
                    <a:pPr>
                      <a:defRPr sz="1100" b="1" i="0" u="none" strike="noStrike" baseline="0">
                        <a:solidFill>
                          <a:srgbClr val="000000"/>
                        </a:solidFill>
                        <a:latin typeface="Calibri"/>
                        <a:ea typeface="Calibri"/>
                        <a:cs typeface="Calibri"/>
                      </a:defRPr>
                    </a:pPr>
                    <a:r>
                      <a:rPr lang="en-US"/>
                      <a:t>Vaste koste</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917-43A1-893E-E4183D54A803}"/>
                </c:ext>
              </c:extLst>
            </c:dLbl>
            <c:dLbl>
              <c:idx val="3"/>
              <c:tx>
                <c:rich>
                  <a:bodyPr/>
                  <a:lstStyle/>
                  <a:p>
                    <a:pPr>
                      <a:defRPr sz="1100" b="1" i="0" u="none" strike="noStrike" baseline="0">
                        <a:solidFill>
                          <a:srgbClr val="000000"/>
                        </a:solidFill>
                        <a:latin typeface="Calibri"/>
                        <a:ea typeface="Calibri"/>
                        <a:cs typeface="Calibri"/>
                      </a:defRPr>
                    </a:pPr>
                    <a:r>
                      <a:rPr lang="en-US"/>
                      <a:t>Wins</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17-43A1-893E-E4183D54A803}"/>
                </c:ext>
              </c:extLst>
            </c:dLbl>
            <c:dLbl>
              <c:idx val="4"/>
              <c:delete val="1"/>
              <c:extLst>
                <c:ext xmlns:c15="http://schemas.microsoft.com/office/drawing/2012/chart" uri="{CE6537A1-D6FC-4f65-9D91-7224C49458BB}"/>
                <c:ext xmlns:c16="http://schemas.microsoft.com/office/drawing/2014/chart" uri="{C3380CC4-5D6E-409C-BE32-E72D297353CC}">
                  <c16:uniqueId val="{00000004-7917-43A1-893E-E4183D54A803}"/>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Calibri"/>
                    <a:ea typeface="Calibri"/>
                    <a:cs typeface="Calibri"/>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val>
            <c:numRef>
              <c:f>Grafieke!$C$54:$C$58</c:f>
              <c:numCache>
                <c:formatCode>0</c:formatCode>
                <c:ptCount val="5"/>
                <c:pt idx="0" formatCode="General">
                  <c:v>0</c:v>
                </c:pt>
                <c:pt idx="1">
                  <c:v>42.261307965523827</c:v>
                </c:pt>
                <c:pt idx="2">
                  <c:v>25.085192731579077</c:v>
                </c:pt>
                <c:pt idx="3">
                  <c:v>32.653499302897089</c:v>
                </c:pt>
                <c:pt idx="4">
                  <c:v>100</c:v>
                </c:pt>
              </c:numCache>
            </c:numRef>
          </c:val>
          <c:extLst>
            <c:ext xmlns:c16="http://schemas.microsoft.com/office/drawing/2014/chart" uri="{C3380CC4-5D6E-409C-BE32-E72D297353CC}">
              <c16:uniqueId val="{00000005-7917-43A1-893E-E4183D54A803}"/>
            </c:ext>
          </c:extLst>
        </c:ser>
        <c:dLbls>
          <c:showLegendKey val="0"/>
          <c:showVal val="0"/>
          <c:showCatName val="0"/>
          <c:showSerName val="0"/>
          <c:showPercent val="0"/>
          <c:showBubbleSize val="0"/>
          <c:showLeaderLines val="0"/>
        </c:dLbls>
        <c:firstSliceAng val="270"/>
        <c:holeSize val="50"/>
      </c:doughnutChart>
      <c:pieChart>
        <c:varyColors val="1"/>
        <c:ser>
          <c:idx val="1"/>
          <c:order val="1"/>
          <c:tx>
            <c:strRef>
              <c:f>Grafieke!$D$53</c:f>
              <c:strCache>
                <c:ptCount val="1"/>
                <c:pt idx="0">
                  <c:v>Pointer</c:v>
                </c:pt>
              </c:strCache>
            </c:strRef>
          </c:tx>
          <c:dPt>
            <c:idx val="0"/>
            <c:bubble3D val="0"/>
            <c:spPr>
              <a:noFill/>
            </c:spPr>
            <c:extLst>
              <c:ext xmlns:c16="http://schemas.microsoft.com/office/drawing/2014/chart" uri="{C3380CC4-5D6E-409C-BE32-E72D297353CC}">
                <c16:uniqueId val="{00000006-7917-43A1-893E-E4183D54A803}"/>
              </c:ext>
            </c:extLst>
          </c:dPt>
          <c:dPt>
            <c:idx val="1"/>
            <c:bubble3D val="0"/>
            <c:spPr>
              <a:solidFill>
                <a:schemeClr val="tx1"/>
              </a:solidFill>
            </c:spPr>
            <c:extLst>
              <c:ext xmlns:c16="http://schemas.microsoft.com/office/drawing/2014/chart" uri="{C3380CC4-5D6E-409C-BE32-E72D297353CC}">
                <c16:uniqueId val="{00000007-7917-43A1-893E-E4183D54A803}"/>
              </c:ext>
            </c:extLst>
          </c:dPt>
          <c:dPt>
            <c:idx val="2"/>
            <c:bubble3D val="0"/>
            <c:spPr>
              <a:noFill/>
            </c:spPr>
            <c:extLst>
              <c:ext xmlns:c16="http://schemas.microsoft.com/office/drawing/2014/chart" uri="{C3380CC4-5D6E-409C-BE32-E72D297353CC}">
                <c16:uniqueId val="{00000008-7917-43A1-893E-E4183D54A803}"/>
              </c:ext>
            </c:extLst>
          </c:dPt>
          <c:val>
            <c:numRef>
              <c:f>Grafieke!$F$54:$F$56</c:f>
              <c:numCache>
                <c:formatCode>General</c:formatCode>
                <c:ptCount val="3"/>
                <c:pt idx="0" formatCode="0">
                  <c:v>32.653499302897089</c:v>
                </c:pt>
                <c:pt idx="1">
                  <c:v>1</c:v>
                </c:pt>
                <c:pt idx="2" formatCode="0">
                  <c:v>166.3465006971029</c:v>
                </c:pt>
              </c:numCache>
            </c:numRef>
          </c:val>
          <c:extLst>
            <c:ext xmlns:c16="http://schemas.microsoft.com/office/drawing/2014/chart" uri="{C3380CC4-5D6E-409C-BE32-E72D297353CC}">
              <c16:uniqueId val="{00000009-7917-43A1-893E-E4183D54A803}"/>
            </c:ext>
          </c:extLst>
        </c:ser>
        <c:dLbls>
          <c:showLegendKey val="0"/>
          <c:showVal val="0"/>
          <c:showCatName val="0"/>
          <c:showSerName val="0"/>
          <c:showPercent val="0"/>
          <c:showBubbleSize val="0"/>
          <c:showLeaderLines val="1"/>
        </c:dLbls>
        <c:firstSliceAng val="270"/>
      </c:pieChart>
      <c:spPr>
        <a:noFill/>
        <a:ln w="25400">
          <a:noFill/>
        </a:ln>
      </c:spPr>
    </c:plotArea>
    <c:plotVisOnly val="1"/>
    <c:dispBlanksAs val="gap"/>
    <c:showDLblsOverMax val="0"/>
  </c:chart>
  <c:spPr>
    <a:solidFill>
      <a:schemeClr val="bg1"/>
    </a:solidFill>
    <a:ln w="9525" cap="flat" cmpd="sng" algn="ctr">
      <a:solidFill>
        <a:schemeClr val="tx1"/>
      </a:solidFill>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8" Type="http://schemas.openxmlformats.org/officeDocument/2006/relationships/chart" Target="../charts/chart9.xml"/><Relationship Id="rId3" Type="http://schemas.openxmlformats.org/officeDocument/2006/relationships/chart" Target="../charts/chart4.xml"/><Relationship Id="rId7" Type="http://schemas.openxmlformats.org/officeDocument/2006/relationships/chart" Target="../charts/chart8.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10" Type="http://schemas.openxmlformats.org/officeDocument/2006/relationships/chart" Target="../charts/chart11.xml"/><Relationship Id="rId4" Type="http://schemas.openxmlformats.org/officeDocument/2006/relationships/chart" Target="../charts/chart5.xml"/><Relationship Id="rId9"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 Id="rId4"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6</xdr:row>
      <xdr:rowOff>45720</xdr:rowOff>
    </xdr:from>
    <xdr:to>
      <xdr:col>6</xdr:col>
      <xdr:colOff>523875</xdr:colOff>
      <xdr:row>11</xdr:row>
      <xdr:rowOff>76200</xdr:rowOff>
    </xdr:to>
    <xdr:pic>
      <xdr:nvPicPr>
        <xdr:cNvPr id="452836" name="Picture 1" descr="GrainSA - YouTube">
          <a:extLst>
            <a:ext uri="{FF2B5EF4-FFF2-40B4-BE49-F238E27FC236}">
              <a16:creationId xmlns:a16="http://schemas.microsoft.com/office/drawing/2014/main" id="{04B5E9C3-0C9D-B4EB-FF8D-0BD6012BE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0480" y="1440180"/>
          <a:ext cx="125730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13197</xdr:colOff>
      <xdr:row>0</xdr:row>
      <xdr:rowOff>17842</xdr:rowOff>
    </xdr:from>
    <xdr:to>
      <xdr:col>16</xdr:col>
      <xdr:colOff>169709</xdr:colOff>
      <xdr:row>15</xdr:row>
      <xdr:rowOff>19525</xdr:rowOff>
    </xdr:to>
    <xdr:graphicFrame macro="">
      <xdr:nvGraphicFramePr>
        <xdr:cNvPr id="944773" name="Chart 1">
          <a:extLst>
            <a:ext uri="{FF2B5EF4-FFF2-40B4-BE49-F238E27FC236}">
              <a16:creationId xmlns:a16="http://schemas.microsoft.com/office/drawing/2014/main" id="{5BEEE16C-811D-7644-2102-F5415E0D98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610530</xdr:colOff>
      <xdr:row>17</xdr:row>
      <xdr:rowOff>1859</xdr:rowOff>
    </xdr:from>
    <xdr:to>
      <xdr:col>16</xdr:col>
      <xdr:colOff>144433</xdr:colOff>
      <xdr:row>32</xdr:row>
      <xdr:rowOff>3542</xdr:rowOff>
    </xdr:to>
    <xdr:graphicFrame macro="">
      <xdr:nvGraphicFramePr>
        <xdr:cNvPr id="944774" name="Chart 3">
          <a:extLst>
            <a:ext uri="{FF2B5EF4-FFF2-40B4-BE49-F238E27FC236}">
              <a16:creationId xmlns:a16="http://schemas.microsoft.com/office/drawing/2014/main" id="{87D12A25-8E68-4F01-704B-152B56E804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611312</xdr:colOff>
      <xdr:row>34</xdr:row>
      <xdr:rowOff>16264</xdr:rowOff>
    </xdr:from>
    <xdr:to>
      <xdr:col>16</xdr:col>
      <xdr:colOff>145215</xdr:colOff>
      <xdr:row>49</xdr:row>
      <xdr:rowOff>17947</xdr:rowOff>
    </xdr:to>
    <xdr:graphicFrame macro="">
      <xdr:nvGraphicFramePr>
        <xdr:cNvPr id="944775" name="Chart 4">
          <a:extLst>
            <a:ext uri="{FF2B5EF4-FFF2-40B4-BE49-F238E27FC236}">
              <a16:creationId xmlns:a16="http://schemas.microsoft.com/office/drawing/2014/main" id="{03AE6A2F-4733-3451-D448-59333BB365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32339</xdr:colOff>
      <xdr:row>51</xdr:row>
      <xdr:rowOff>33825</xdr:rowOff>
    </xdr:from>
    <xdr:to>
      <xdr:col>26</xdr:col>
      <xdr:colOff>188851</xdr:colOff>
      <xdr:row>66</xdr:row>
      <xdr:rowOff>26215</xdr:rowOff>
    </xdr:to>
    <xdr:graphicFrame macro="">
      <xdr:nvGraphicFramePr>
        <xdr:cNvPr id="944776" name="Chart 4">
          <a:extLst>
            <a:ext uri="{FF2B5EF4-FFF2-40B4-BE49-F238E27FC236}">
              <a16:creationId xmlns:a16="http://schemas.microsoft.com/office/drawing/2014/main" id="{7FB84ABF-1683-A570-0052-CE47BF7EC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17</xdr:col>
      <xdr:colOff>20444</xdr:colOff>
      <xdr:row>0</xdr:row>
      <xdr:rowOff>27878</xdr:rowOff>
    </xdr:from>
    <xdr:to>
      <xdr:col>26</xdr:col>
      <xdr:colOff>176956</xdr:colOff>
      <xdr:row>15</xdr:row>
      <xdr:rowOff>29561</xdr:rowOff>
    </xdr:to>
    <xdr:graphicFrame macro="">
      <xdr:nvGraphicFramePr>
        <xdr:cNvPr id="944777" name="Chart 1">
          <a:extLst>
            <a:ext uri="{FF2B5EF4-FFF2-40B4-BE49-F238E27FC236}">
              <a16:creationId xmlns:a16="http://schemas.microsoft.com/office/drawing/2014/main" id="{A0369F43-C654-FA79-6DB3-E25BCBF0D4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621493</xdr:colOff>
      <xdr:row>17</xdr:row>
      <xdr:rowOff>18353</xdr:rowOff>
    </xdr:from>
    <xdr:to>
      <xdr:col>26</xdr:col>
      <xdr:colOff>155395</xdr:colOff>
      <xdr:row>32</xdr:row>
      <xdr:rowOff>20036</xdr:rowOff>
    </xdr:to>
    <xdr:graphicFrame macro="">
      <xdr:nvGraphicFramePr>
        <xdr:cNvPr id="944778" name="Chart 3">
          <a:extLst>
            <a:ext uri="{FF2B5EF4-FFF2-40B4-BE49-F238E27FC236}">
              <a16:creationId xmlns:a16="http://schemas.microsoft.com/office/drawing/2014/main" id="{08D4F32D-488C-616A-82AD-240F5E9028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xdr:col>
      <xdr:colOff>34754</xdr:colOff>
      <xdr:row>34</xdr:row>
      <xdr:rowOff>5947</xdr:rowOff>
    </xdr:from>
    <xdr:to>
      <xdr:col>26</xdr:col>
      <xdr:colOff>191266</xdr:colOff>
      <xdr:row>49</xdr:row>
      <xdr:rowOff>7630</xdr:rowOff>
    </xdr:to>
    <xdr:graphicFrame macro="">
      <xdr:nvGraphicFramePr>
        <xdr:cNvPr id="944779" name="Chart 4">
          <a:extLst>
            <a:ext uri="{FF2B5EF4-FFF2-40B4-BE49-F238E27FC236}">
              <a16:creationId xmlns:a16="http://schemas.microsoft.com/office/drawing/2014/main" id="{8B0A92E1-DE7B-FFA4-CF30-81CCFF334E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618986</xdr:colOff>
      <xdr:row>51</xdr:row>
      <xdr:rowOff>27693</xdr:rowOff>
    </xdr:from>
    <xdr:to>
      <xdr:col>16</xdr:col>
      <xdr:colOff>152889</xdr:colOff>
      <xdr:row>66</xdr:row>
      <xdr:rowOff>20083</xdr:rowOff>
    </xdr:to>
    <xdr:graphicFrame macro="">
      <xdr:nvGraphicFramePr>
        <xdr:cNvPr id="944780" name="Chart 4">
          <a:extLst>
            <a:ext uri="{FF2B5EF4-FFF2-40B4-BE49-F238E27FC236}">
              <a16:creationId xmlns:a16="http://schemas.microsoft.com/office/drawing/2014/main" id="{568CADD8-E51F-6524-3FAD-EF83ECC959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9293</xdr:colOff>
      <xdr:row>70</xdr:row>
      <xdr:rowOff>166526</xdr:rowOff>
    </xdr:from>
    <xdr:to>
      <xdr:col>26</xdr:col>
      <xdr:colOff>165805</xdr:colOff>
      <xdr:row>85</xdr:row>
      <xdr:rowOff>158916</xdr:rowOff>
    </xdr:to>
    <xdr:graphicFrame macro="">
      <xdr:nvGraphicFramePr>
        <xdr:cNvPr id="944781" name="Chart 4">
          <a:extLst>
            <a:ext uri="{FF2B5EF4-FFF2-40B4-BE49-F238E27FC236}">
              <a16:creationId xmlns:a16="http://schemas.microsoft.com/office/drawing/2014/main" id="{FCBC8018-BFBA-6C65-A6F4-70EEA8276F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71</xdr:row>
      <xdr:rowOff>-1</xdr:rowOff>
    </xdr:from>
    <xdr:to>
      <xdr:col>16</xdr:col>
      <xdr:colOff>156512</xdr:colOff>
      <xdr:row>85</xdr:row>
      <xdr:rowOff>159658</xdr:rowOff>
    </xdr:to>
    <xdr:graphicFrame macro="">
      <xdr:nvGraphicFramePr>
        <xdr:cNvPr id="2" name="Chart 4">
          <a:extLst>
            <a:ext uri="{FF2B5EF4-FFF2-40B4-BE49-F238E27FC236}">
              <a16:creationId xmlns:a16="http://schemas.microsoft.com/office/drawing/2014/main" id="{3A02ABB6-6DA1-4217-9430-6AC3799249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6</xdr:col>
      <xdr:colOff>1066800</xdr:colOff>
      <xdr:row>0</xdr:row>
      <xdr:rowOff>45720</xdr:rowOff>
    </xdr:from>
    <xdr:to>
      <xdr:col>16</xdr:col>
      <xdr:colOff>1097280</xdr:colOff>
      <xdr:row>17</xdr:row>
      <xdr:rowOff>15240</xdr:rowOff>
    </xdr:to>
    <xdr:graphicFrame macro="">
      <xdr:nvGraphicFramePr>
        <xdr:cNvPr id="536173" name="Chart 1">
          <a:extLst>
            <a:ext uri="{FF2B5EF4-FFF2-40B4-BE49-F238E27FC236}">
              <a16:creationId xmlns:a16="http://schemas.microsoft.com/office/drawing/2014/main" id="{EFCEA179-E58A-EAF9-912F-DAC2C53AC6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1143000</xdr:colOff>
      <xdr:row>17</xdr:row>
      <xdr:rowOff>0</xdr:rowOff>
    </xdr:from>
    <xdr:to>
      <xdr:col>16</xdr:col>
      <xdr:colOff>1082040</xdr:colOff>
      <xdr:row>34</xdr:row>
      <xdr:rowOff>236220</xdr:rowOff>
    </xdr:to>
    <xdr:graphicFrame macro="">
      <xdr:nvGraphicFramePr>
        <xdr:cNvPr id="536174" name="Chart 3">
          <a:extLst>
            <a:ext uri="{FF2B5EF4-FFF2-40B4-BE49-F238E27FC236}">
              <a16:creationId xmlns:a16="http://schemas.microsoft.com/office/drawing/2014/main" id="{7E427981-F4E1-71E6-801C-3D79A43CE5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1104900</xdr:colOff>
      <xdr:row>34</xdr:row>
      <xdr:rowOff>236220</xdr:rowOff>
    </xdr:from>
    <xdr:to>
      <xdr:col>16</xdr:col>
      <xdr:colOff>982980</xdr:colOff>
      <xdr:row>53</xdr:row>
      <xdr:rowOff>198120</xdr:rowOff>
    </xdr:to>
    <xdr:graphicFrame macro="">
      <xdr:nvGraphicFramePr>
        <xdr:cNvPr id="536175" name="Chart 4">
          <a:extLst>
            <a:ext uri="{FF2B5EF4-FFF2-40B4-BE49-F238E27FC236}">
              <a16:creationId xmlns:a16="http://schemas.microsoft.com/office/drawing/2014/main" id="{12E780B8-C11E-5E35-BD8B-92F7C68191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1104900</xdr:colOff>
      <xdr:row>54</xdr:row>
      <xdr:rowOff>236220</xdr:rowOff>
    </xdr:from>
    <xdr:to>
      <xdr:col>16</xdr:col>
      <xdr:colOff>982980</xdr:colOff>
      <xdr:row>73</xdr:row>
      <xdr:rowOff>220980</xdr:rowOff>
    </xdr:to>
    <xdr:graphicFrame macro="">
      <xdr:nvGraphicFramePr>
        <xdr:cNvPr id="536176" name="Chart 4">
          <a:extLst>
            <a:ext uri="{FF2B5EF4-FFF2-40B4-BE49-F238E27FC236}">
              <a16:creationId xmlns:a16="http://schemas.microsoft.com/office/drawing/2014/main" id="{D47AB5AA-0300-56AE-6A0E-7144D147BB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xdr:colOff>
      <xdr:row>43</xdr:row>
      <xdr:rowOff>15240</xdr:rowOff>
    </xdr:from>
    <xdr:to>
      <xdr:col>0</xdr:col>
      <xdr:colOff>1287780</xdr:colOff>
      <xdr:row>46</xdr:row>
      <xdr:rowOff>198120</xdr:rowOff>
    </xdr:to>
    <xdr:pic>
      <xdr:nvPicPr>
        <xdr:cNvPr id="485781" name="Picture 3" descr="http://www.maizetrust.co.za/images/masthead.jpg">
          <a:extLst>
            <a:ext uri="{FF2B5EF4-FFF2-40B4-BE49-F238E27FC236}">
              <a16:creationId xmlns:a16="http://schemas.microsoft.com/office/drawing/2014/main" id="{C2FBC853-7ED6-5314-6D52-52FA76EE1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8069580"/>
          <a:ext cx="128016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xdr:colOff>
      <xdr:row>43</xdr:row>
      <xdr:rowOff>15240</xdr:rowOff>
    </xdr:from>
    <xdr:to>
      <xdr:col>0</xdr:col>
      <xdr:colOff>1287780</xdr:colOff>
      <xdr:row>46</xdr:row>
      <xdr:rowOff>198120</xdr:rowOff>
    </xdr:to>
    <xdr:pic>
      <xdr:nvPicPr>
        <xdr:cNvPr id="483739" name="Picture 3" descr="http://www.maizetrust.co.za/images/masthead.jpg">
          <a:extLst>
            <a:ext uri="{FF2B5EF4-FFF2-40B4-BE49-F238E27FC236}">
              <a16:creationId xmlns:a16="http://schemas.microsoft.com/office/drawing/2014/main" id="{2074A2B1-4A9B-CC15-D27A-B082374D0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8069580"/>
          <a:ext cx="128016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12101</xdr:colOff>
      <xdr:row>0</xdr:row>
      <xdr:rowOff>448</xdr:rowOff>
    </xdr:from>
    <xdr:to>
      <xdr:col>13</xdr:col>
      <xdr:colOff>95698</xdr:colOff>
      <xdr:row>2</xdr:row>
      <xdr:rowOff>206188</xdr:rowOff>
    </xdr:to>
    <xdr:pic>
      <xdr:nvPicPr>
        <xdr:cNvPr id="483740" name="Picture 1" descr="GrainSA - YouTube">
          <a:extLst>
            <a:ext uri="{FF2B5EF4-FFF2-40B4-BE49-F238E27FC236}">
              <a16:creationId xmlns:a16="http://schemas.microsoft.com/office/drawing/2014/main" id="{A992E048-96E7-D047-483E-8D76E4E43B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119372" y="448"/>
          <a:ext cx="1100418" cy="8346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26671</xdr:colOff>
      <xdr:row>0</xdr:row>
      <xdr:rowOff>28575</xdr:rowOff>
    </xdr:from>
    <xdr:to>
      <xdr:col>9</xdr:col>
      <xdr:colOff>79583</xdr:colOff>
      <xdr:row>2</xdr:row>
      <xdr:rowOff>76200</xdr:rowOff>
    </xdr:to>
    <xdr:pic>
      <xdr:nvPicPr>
        <xdr:cNvPr id="558231" name="Picture 1" descr="GrainSA - YouTube">
          <a:extLst>
            <a:ext uri="{FF2B5EF4-FFF2-40B4-BE49-F238E27FC236}">
              <a16:creationId xmlns:a16="http://schemas.microsoft.com/office/drawing/2014/main" id="{8A870960-1BB7-8561-C529-9E71DC86D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1021" y="28575"/>
          <a:ext cx="1043512"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457200</xdr:colOff>
      <xdr:row>101</xdr:row>
      <xdr:rowOff>15240</xdr:rowOff>
    </xdr:from>
    <xdr:to>
      <xdr:col>8</xdr:col>
      <xdr:colOff>95473</xdr:colOff>
      <xdr:row>105</xdr:row>
      <xdr:rowOff>55582</xdr:rowOff>
    </xdr:to>
    <xdr:pic>
      <xdr:nvPicPr>
        <xdr:cNvPr id="1133687" name="Picture 3" descr="Graan SA - nuwe logo.jpg">
          <a:extLst>
            <a:ext uri="{FF2B5EF4-FFF2-40B4-BE49-F238E27FC236}">
              <a16:creationId xmlns:a16="http://schemas.microsoft.com/office/drawing/2014/main" id="{8CFE86A9-790D-CB17-8A65-F2B3F27F41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32520" y="18143220"/>
          <a:ext cx="480060" cy="754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3587</xdr:colOff>
      <xdr:row>0</xdr:row>
      <xdr:rowOff>0</xdr:rowOff>
    </xdr:from>
    <xdr:to>
      <xdr:col>9</xdr:col>
      <xdr:colOff>15412</xdr:colOff>
      <xdr:row>2</xdr:row>
      <xdr:rowOff>190724</xdr:rowOff>
    </xdr:to>
    <xdr:pic>
      <xdr:nvPicPr>
        <xdr:cNvPr id="1133688" name="Picture 1" descr="GrainSA - YouTube">
          <a:extLst>
            <a:ext uri="{FF2B5EF4-FFF2-40B4-BE49-F238E27FC236}">
              <a16:creationId xmlns:a16="http://schemas.microsoft.com/office/drawing/2014/main" id="{AC4220AB-658D-5BD8-AAF6-202F18D161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13869" y="0"/>
          <a:ext cx="1014526" cy="7978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9</xdr:col>
      <xdr:colOff>383240</xdr:colOff>
      <xdr:row>3</xdr:row>
      <xdr:rowOff>145900</xdr:rowOff>
    </xdr:to>
    <xdr:pic>
      <xdr:nvPicPr>
        <xdr:cNvPr id="666754" name="Picture 1" descr="GrainSA - YouTube">
          <a:extLst>
            <a:ext uri="{FF2B5EF4-FFF2-40B4-BE49-F238E27FC236}">
              <a16:creationId xmlns:a16="http://schemas.microsoft.com/office/drawing/2014/main" id="{AE079499-B692-8DCF-6CF3-9EC5C7660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65789" y="0"/>
          <a:ext cx="1252817" cy="9565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0</xdr:colOff>
      <xdr:row>0</xdr:row>
      <xdr:rowOff>48410</xdr:rowOff>
    </xdr:from>
    <xdr:to>
      <xdr:col>8</xdr:col>
      <xdr:colOff>134470</xdr:colOff>
      <xdr:row>2</xdr:row>
      <xdr:rowOff>412377</xdr:rowOff>
    </xdr:to>
    <xdr:pic>
      <xdr:nvPicPr>
        <xdr:cNvPr id="144971" name="Picture 1" descr="GrainSA - YouTube">
          <a:extLst>
            <a:ext uri="{FF2B5EF4-FFF2-40B4-BE49-F238E27FC236}">
              <a16:creationId xmlns:a16="http://schemas.microsoft.com/office/drawing/2014/main" id="{0989459C-315B-87FB-5772-22B079ED3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13215" y="48410"/>
          <a:ext cx="1123726" cy="9825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38100</xdr:colOff>
      <xdr:row>43</xdr:row>
      <xdr:rowOff>15240</xdr:rowOff>
    </xdr:from>
    <xdr:to>
      <xdr:col>0</xdr:col>
      <xdr:colOff>1287780</xdr:colOff>
      <xdr:row>46</xdr:row>
      <xdr:rowOff>198120</xdr:rowOff>
    </xdr:to>
    <xdr:pic>
      <xdr:nvPicPr>
        <xdr:cNvPr id="487828" name="Picture 3" descr="http://www.maizetrust.co.za/images/masthead.jpg">
          <a:extLst>
            <a:ext uri="{FF2B5EF4-FFF2-40B4-BE49-F238E27FC236}">
              <a16:creationId xmlns:a16="http://schemas.microsoft.com/office/drawing/2014/main" id="{1975E20E-EDF6-218B-B049-C59D3F809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8587740"/>
          <a:ext cx="124968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53340</xdr:colOff>
      <xdr:row>0</xdr:row>
      <xdr:rowOff>99060</xdr:rowOff>
    </xdr:from>
    <xdr:to>
      <xdr:col>8</xdr:col>
      <xdr:colOff>327659</xdr:colOff>
      <xdr:row>3</xdr:row>
      <xdr:rowOff>110490</xdr:rowOff>
    </xdr:to>
    <xdr:pic>
      <xdr:nvPicPr>
        <xdr:cNvPr id="487829" name="Picture 1" descr="GrainSA - YouTube">
          <a:extLst>
            <a:ext uri="{FF2B5EF4-FFF2-40B4-BE49-F238E27FC236}">
              <a16:creationId xmlns:a16="http://schemas.microsoft.com/office/drawing/2014/main" id="{58EE2FE7-BF3D-82D5-91D9-A9058C93E4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8620" y="99060"/>
          <a:ext cx="1264920" cy="975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37</xdr:row>
      <xdr:rowOff>19050</xdr:rowOff>
    </xdr:from>
    <xdr:to>
      <xdr:col>8</xdr:col>
      <xdr:colOff>1905</xdr:colOff>
      <xdr:row>56</xdr:row>
      <xdr:rowOff>15240</xdr:rowOff>
    </xdr:to>
    <xdr:graphicFrame macro="">
      <xdr:nvGraphicFramePr>
        <xdr:cNvPr id="464338" name="Chart 1">
          <a:extLst>
            <a:ext uri="{FF2B5EF4-FFF2-40B4-BE49-F238E27FC236}">
              <a16:creationId xmlns:a16="http://schemas.microsoft.com/office/drawing/2014/main" id="{258CF39C-5588-FE35-7F0A-62C5106E03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286506</xdr:colOff>
      <xdr:row>2</xdr:row>
      <xdr:rowOff>14204</xdr:rowOff>
    </xdr:from>
    <xdr:to>
      <xdr:col>11</xdr:col>
      <xdr:colOff>1183313</xdr:colOff>
      <xdr:row>6</xdr:row>
      <xdr:rowOff>172319</xdr:rowOff>
    </xdr:to>
    <xdr:pic>
      <xdr:nvPicPr>
        <xdr:cNvPr id="464339" name="Picture 1" descr="GrainSA - YouTube">
          <a:extLst>
            <a:ext uri="{FF2B5EF4-FFF2-40B4-BE49-F238E27FC236}">
              <a16:creationId xmlns:a16="http://schemas.microsoft.com/office/drawing/2014/main" id="{F5A47335-8BB0-4FAC-147C-BE56FE17D0A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031456" y="404729"/>
          <a:ext cx="896807" cy="882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Bedryfsbediening/Shared%20Documents/Produksie/Produksie%20Begrotings/Somer%20gewas%20streke/Somer%20modelle/2024-25/GSA-24-25%20Noordwes%20model.xlsx" TargetMode="External"/><Relationship Id="rId1" Type="http://schemas.openxmlformats.org/officeDocument/2006/relationships/externalLinkPath" Target="/sites/Bedryfsbediening/Shared%20Documents/Produksie/Produksie%20Begrotings/Somer%20gewas%20streke/Somer%20modelle/2024-25/GSA-24-25%20Noordwes%20model.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Bedryfsbediening/Shared%20Documents/Artikels%20&amp;%20Toesprake/Petru%20Fourie/Artikels/Dashboard/Aug%202022/Dashboard%20Infoworks%20%20Aug%202022.xlsx" TargetMode="External"/><Relationship Id="rId1" Type="http://schemas.openxmlformats.org/officeDocument/2006/relationships/externalLinkPath" Target="/sites/Bedryfsbediening/Shared%20Documents/Artikels%20&amp;%20Toesprake/Petru%20Fourie/Artikels/Dashboard/Aug%202022/Dashboard%20Infoworks%20%20Aug%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eedprices"/>
      <sheetName val="Price sheet "/>
      <sheetName val="Crops planted"/>
      <sheetName val="Inventarus "/>
      <sheetName val="Laste"/>
      <sheetName val="vaste koste"/>
      <sheetName val="W-Mielie "/>
      <sheetName val="W-BT Mielies"/>
      <sheetName val="Sonneblom"/>
      <sheetName val="Sojabone"/>
      <sheetName val="Graansorghum"/>
      <sheetName val="Grondbone"/>
      <sheetName val="Oorlê"/>
      <sheetName val="Bes-mielies"/>
      <sheetName val="Crop Comparison"/>
      <sheetName val="Crop Comparison Month vs Month)"/>
      <sheetName val="Bruto Marge"/>
      <sheetName val="Grafieke"/>
      <sheetName val="Rent calculations"/>
      <sheetName val="Crop Comparison Jaar op jaa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5">
          <cell r="A35" t="str">
            <v>Winsgewendheid: Sojabone</v>
          </cell>
          <cell r="D35" t="str">
            <v>Pointer</v>
          </cell>
        </row>
        <row r="36">
          <cell r="C36">
            <v>0</v>
          </cell>
          <cell r="F36">
            <v>55.906350089438725</v>
          </cell>
        </row>
        <row r="37">
          <cell r="C37">
            <v>37.588510366739939</v>
          </cell>
          <cell r="F37">
            <v>1</v>
          </cell>
        </row>
        <row r="38">
          <cell r="C38">
            <v>6.5051395438213433</v>
          </cell>
          <cell r="F38">
            <v>143.09364991056128</v>
          </cell>
        </row>
        <row r="39">
          <cell r="C39">
            <v>55.906350089438725</v>
          </cell>
        </row>
        <row r="40">
          <cell r="C40">
            <v>100</v>
          </cell>
        </row>
      </sheetData>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pum1"/>
      <sheetName val="MPUM 2"/>
      <sheetName val="NW1"/>
      <sheetName val="NW2"/>
      <sheetName val="NWFS1"/>
      <sheetName val="NWFS2"/>
    </sheetNames>
    <sheetDataSet>
      <sheetData sheetId="0"/>
      <sheetData sheetId="1"/>
      <sheetData sheetId="2"/>
      <sheetData sheetId="3">
        <row r="35">
          <cell r="A35" t="str">
            <v>Winsgewendheid: Sojabone</v>
          </cell>
        </row>
        <row r="36">
          <cell r="C36">
            <v>0</v>
          </cell>
        </row>
        <row r="37">
          <cell r="C37">
            <v>41.920820901592684</v>
          </cell>
        </row>
        <row r="38">
          <cell r="C38">
            <v>9.3694985438043634</v>
          </cell>
        </row>
        <row r="39">
          <cell r="C39">
            <v>48.70968055460294</v>
          </cell>
        </row>
        <row r="40">
          <cell r="C40">
            <v>100</v>
          </cell>
        </row>
      </sheetData>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D448A-7272-4243-8E9E-CEBFF1705181}">
  <dimension ref="A1:Z63"/>
  <sheetViews>
    <sheetView tabSelected="1" topLeftCell="A33" zoomScale="80" zoomScaleNormal="80" workbookViewId="0">
      <selection activeCell="A46" sqref="A46"/>
    </sheetView>
  </sheetViews>
  <sheetFormatPr defaultColWidth="9.109375" defaultRowHeight="13.2" x14ac:dyDescent="0.25"/>
  <cols>
    <col min="1" max="1" width="52.44140625" style="86" customWidth="1"/>
    <col min="2" max="2" width="18.33203125" style="448" bestFit="1" customWidth="1"/>
    <col min="3" max="3" width="3.33203125" style="86" customWidth="1"/>
    <col min="4" max="4" width="48.33203125" style="17" bestFit="1" customWidth="1"/>
    <col min="5" max="12" width="10.6640625" style="17" customWidth="1"/>
    <col min="13" max="14" width="9.109375" style="17"/>
    <col min="15" max="15" width="2.6640625" style="17" customWidth="1"/>
    <col min="16" max="16" width="22.6640625" style="17" customWidth="1"/>
    <col min="17" max="17" width="11.6640625" style="17" customWidth="1"/>
    <col min="18" max="26" width="9.44140625" style="17" customWidth="1"/>
    <col min="27" max="16384" width="9.109375" style="17"/>
  </cols>
  <sheetData>
    <row r="1" spans="1:26" s="87" customFormat="1" ht="28.5" customHeight="1" x14ac:dyDescent="0.4">
      <c r="A1" s="101" t="s">
        <v>0</v>
      </c>
      <c r="B1" s="444" t="s">
        <v>1</v>
      </c>
      <c r="C1" s="86"/>
      <c r="D1" s="86"/>
      <c r="E1" s="86"/>
      <c r="F1" s="86"/>
      <c r="G1" s="86"/>
      <c r="H1" s="86"/>
      <c r="I1" s="86"/>
      <c r="J1" s="86"/>
      <c r="K1" s="86"/>
      <c r="L1" s="86"/>
      <c r="M1" s="86"/>
      <c r="N1" s="86"/>
    </row>
    <row r="2" spans="1:26" s="87" customFormat="1" ht="13.5" customHeight="1" x14ac:dyDescent="0.3">
      <c r="A2" s="102" t="s">
        <v>2</v>
      </c>
      <c r="B2" s="445">
        <v>46238</v>
      </c>
      <c r="C2" s="86"/>
      <c r="D2" s="86"/>
      <c r="E2" s="86"/>
      <c r="F2" s="88"/>
      <c r="G2" s="89"/>
      <c r="H2" s="86"/>
      <c r="I2" s="86"/>
      <c r="J2" s="86"/>
      <c r="K2" s="86"/>
      <c r="L2" s="86"/>
      <c r="M2" s="86"/>
      <c r="N2" s="86"/>
    </row>
    <row r="3" spans="1:26" s="87" customFormat="1" ht="29.25" customHeight="1" x14ac:dyDescent="0.3">
      <c r="A3" s="103" t="s">
        <v>3</v>
      </c>
      <c r="B3" s="446" t="s">
        <v>4</v>
      </c>
      <c r="C3" s="86"/>
      <c r="D3" s="92" t="s">
        <v>5</v>
      </c>
      <c r="E3" s="86"/>
      <c r="F3" s="88"/>
      <c r="G3" s="89"/>
      <c r="H3" s="86"/>
      <c r="I3" s="86"/>
      <c r="J3" s="86"/>
      <c r="K3" s="86"/>
      <c r="L3" s="86"/>
    </row>
    <row r="4" spans="1:26" s="87" customFormat="1" ht="13.5" customHeight="1" x14ac:dyDescent="0.3">
      <c r="A4" s="104" t="s">
        <v>6</v>
      </c>
      <c r="B4" s="447">
        <v>3800</v>
      </c>
      <c r="C4" s="90"/>
      <c r="D4" s="91">
        <v>386.29</v>
      </c>
      <c r="E4" s="86"/>
      <c r="F4" s="88"/>
      <c r="G4" s="89"/>
      <c r="H4" s="86"/>
      <c r="I4" s="86"/>
      <c r="J4" s="86"/>
      <c r="K4" s="86"/>
      <c r="L4" s="86"/>
    </row>
    <row r="5" spans="1:26" s="87" customFormat="1" ht="13.5" customHeight="1" x14ac:dyDescent="0.3">
      <c r="A5" s="104" t="s">
        <v>7</v>
      </c>
      <c r="B5" s="447">
        <v>10000</v>
      </c>
      <c r="C5" s="90"/>
      <c r="D5" s="91">
        <v>445.55</v>
      </c>
      <c r="E5" s="86"/>
      <c r="F5" s="88"/>
      <c r="G5" s="89"/>
      <c r="H5" s="86"/>
      <c r="I5" s="86"/>
      <c r="J5" s="86"/>
      <c r="K5" s="86"/>
      <c r="L5" s="86"/>
      <c r="M5" s="86"/>
      <c r="N5" s="86"/>
    </row>
    <row r="6" spans="1:26" s="87" customFormat="1" ht="13.5" customHeight="1" x14ac:dyDescent="0.3">
      <c r="A6" s="104" t="s">
        <v>8</v>
      </c>
      <c r="B6" s="447">
        <v>7900</v>
      </c>
      <c r="C6" s="90"/>
      <c r="D6" s="91">
        <v>192.41</v>
      </c>
      <c r="E6" s="86"/>
      <c r="F6" s="88"/>
      <c r="G6" s="89"/>
      <c r="H6" s="86"/>
      <c r="I6" s="86"/>
      <c r="J6" s="86"/>
      <c r="K6" s="86"/>
      <c r="L6" s="86"/>
      <c r="M6" s="86"/>
      <c r="N6" s="86"/>
    </row>
    <row r="7" spans="1:26" s="87" customFormat="1" ht="13.5" customHeight="1" x14ac:dyDescent="0.3">
      <c r="A7" s="104" t="s">
        <v>9</v>
      </c>
      <c r="B7" s="447">
        <v>3500</v>
      </c>
      <c r="C7" s="90"/>
      <c r="D7" s="91">
        <v>108.52</v>
      </c>
      <c r="E7" s="86"/>
      <c r="F7" s="86"/>
      <c r="G7" s="86"/>
      <c r="H7" s="86"/>
      <c r="I7" s="86"/>
      <c r="J7" s="86"/>
      <c r="K7" s="86"/>
      <c r="L7" s="86"/>
      <c r="M7" s="86"/>
      <c r="N7" s="86"/>
    </row>
    <row r="8" spans="1:26" s="87" customFormat="1" ht="13.5" customHeight="1" x14ac:dyDescent="0.3">
      <c r="A8" s="104" t="s">
        <v>10</v>
      </c>
      <c r="B8" s="447">
        <v>21767</v>
      </c>
      <c r="C8" s="90"/>
      <c r="D8" s="91">
        <v>63</v>
      </c>
      <c r="E8" s="86"/>
      <c r="F8" s="86"/>
      <c r="G8" s="86"/>
      <c r="H8" s="86"/>
      <c r="I8" s="86"/>
      <c r="J8" s="86"/>
      <c r="K8" s="86"/>
      <c r="L8" s="86"/>
      <c r="M8" s="86"/>
      <c r="N8" s="86"/>
    </row>
    <row r="9" spans="1:26" s="87" customFormat="1" ht="13.5" customHeight="1" x14ac:dyDescent="0.3">
      <c r="A9" s="104" t="s">
        <v>11</v>
      </c>
      <c r="B9" s="447">
        <v>18150</v>
      </c>
      <c r="C9" s="90"/>
      <c r="D9" s="91"/>
      <c r="E9" s="86"/>
      <c r="F9" s="86"/>
      <c r="G9" s="86"/>
      <c r="H9" s="86"/>
      <c r="I9" s="86"/>
      <c r="J9" s="86"/>
      <c r="K9" s="86"/>
      <c r="L9" s="86"/>
      <c r="M9" s="86"/>
      <c r="N9" s="86"/>
    </row>
    <row r="10" spans="1:26" s="87" customFormat="1" ht="13.5" customHeight="1" x14ac:dyDescent="0.3">
      <c r="A10" s="104" t="s">
        <v>12</v>
      </c>
      <c r="B10" s="447">
        <v>16083</v>
      </c>
      <c r="C10" s="90"/>
      <c r="D10" s="91"/>
      <c r="E10" s="86"/>
      <c r="F10" s="86"/>
      <c r="G10" s="86"/>
      <c r="H10" s="86"/>
      <c r="I10" s="86"/>
      <c r="J10" s="86"/>
      <c r="K10" s="86"/>
      <c r="L10" s="86"/>
      <c r="M10" s="86"/>
      <c r="N10" s="86"/>
    </row>
    <row r="11" spans="1:26" s="87" customFormat="1" ht="13.5" customHeight="1" x14ac:dyDescent="0.3">
      <c r="A11" s="104" t="s">
        <v>13</v>
      </c>
      <c r="B11" s="447">
        <v>5467</v>
      </c>
      <c r="C11" s="90"/>
      <c r="D11" s="91"/>
      <c r="E11" s="86"/>
      <c r="F11" s="86"/>
      <c r="G11" s="86"/>
      <c r="H11" s="86"/>
      <c r="I11" s="86"/>
      <c r="J11" s="86"/>
      <c r="K11" s="86"/>
      <c r="L11" s="86"/>
      <c r="M11" s="86"/>
      <c r="N11" s="86"/>
    </row>
    <row r="12" spans="1:26" s="87" customFormat="1" ht="13.5" customHeight="1" x14ac:dyDescent="0.3">
      <c r="A12" s="104" t="s">
        <v>14</v>
      </c>
      <c r="B12" s="447">
        <v>3517</v>
      </c>
      <c r="C12" s="86"/>
      <c r="D12" s="91"/>
      <c r="E12" s="86"/>
      <c r="F12" s="86"/>
      <c r="G12" s="86"/>
      <c r="H12" s="86"/>
      <c r="I12" s="86"/>
      <c r="J12" s="86"/>
      <c r="K12" s="86"/>
      <c r="L12" s="86"/>
      <c r="M12" s="86"/>
      <c r="N12" s="86"/>
    </row>
    <row r="13" spans="1:26" s="87" customFormat="1" ht="13.5" customHeight="1" x14ac:dyDescent="0.4">
      <c r="A13" s="101"/>
      <c r="B13" s="448"/>
      <c r="C13" s="86"/>
      <c r="D13" s="86"/>
      <c r="E13" s="86"/>
      <c r="F13" s="86"/>
      <c r="G13" s="86"/>
      <c r="H13" s="86"/>
      <c r="I13" s="86"/>
      <c r="J13" s="86"/>
      <c r="K13" s="86"/>
      <c r="L13" s="86"/>
      <c r="M13" s="86"/>
      <c r="N13" s="86"/>
    </row>
    <row r="14" spans="1:26" s="87" customFormat="1" ht="13.5" customHeight="1" thickBot="1" x14ac:dyDescent="0.35">
      <c r="A14" s="464"/>
      <c r="B14" s="464"/>
      <c r="C14" s="86"/>
      <c r="D14" s="86"/>
      <c r="E14" s="86"/>
      <c r="F14" s="86"/>
      <c r="G14" s="86"/>
      <c r="H14" s="86"/>
      <c r="I14" s="86"/>
      <c r="J14" s="86"/>
      <c r="K14" s="86"/>
      <c r="L14" s="86"/>
      <c r="M14" s="86"/>
      <c r="N14" s="86"/>
    </row>
    <row r="15" spans="1:26" ht="20.25" customHeight="1" thickBot="1" x14ac:dyDescent="0.3">
      <c r="A15" s="466" t="s">
        <v>15</v>
      </c>
      <c r="B15" s="466"/>
      <c r="C15" s="93"/>
      <c r="D15" s="458" t="s">
        <v>16</v>
      </c>
      <c r="E15" s="459"/>
      <c r="F15" s="459"/>
      <c r="G15" s="459"/>
      <c r="H15" s="459"/>
      <c r="I15" s="459"/>
      <c r="J15" s="459"/>
      <c r="K15" s="459"/>
      <c r="L15" s="459"/>
      <c r="M15" s="459"/>
      <c r="N15" s="460"/>
      <c r="P15" s="458" t="s">
        <v>17</v>
      </c>
      <c r="Q15" s="459"/>
      <c r="R15" s="459"/>
      <c r="S15" s="459"/>
      <c r="T15" s="459"/>
      <c r="U15" s="459"/>
      <c r="V15" s="459"/>
      <c r="W15" s="459"/>
      <c r="X15" s="459"/>
      <c r="Y15" s="459"/>
      <c r="Z15" s="460"/>
    </row>
    <row r="16" spans="1:26" ht="13.5" customHeight="1" thickBot="1" x14ac:dyDescent="0.3">
      <c r="A16" s="105" t="s">
        <v>18</v>
      </c>
      <c r="B16" s="110">
        <f>'W-BT Mielies'!F26</f>
        <v>15508.02802246914</v>
      </c>
      <c r="C16" s="94"/>
      <c r="D16" s="19"/>
      <c r="E16" s="20"/>
      <c r="F16" s="197"/>
      <c r="G16" s="21"/>
      <c r="H16" s="197"/>
      <c r="I16" s="197"/>
      <c r="J16" s="197" t="s">
        <v>19</v>
      </c>
      <c r="K16" s="198"/>
      <c r="L16" s="197"/>
      <c r="M16" s="198"/>
      <c r="N16" s="197"/>
      <c r="P16" s="19"/>
      <c r="Q16" s="20"/>
      <c r="R16" s="197"/>
      <c r="S16" s="21"/>
      <c r="T16" s="197"/>
      <c r="U16" s="197"/>
      <c r="V16" s="197" t="s">
        <v>19</v>
      </c>
      <c r="W16" s="198"/>
      <c r="X16" s="197"/>
      <c r="Y16" s="198"/>
      <c r="Z16" s="197"/>
    </row>
    <row r="17" spans="1:26" ht="13.5" customHeight="1" thickBot="1" x14ac:dyDescent="0.3">
      <c r="A17" s="105" t="s">
        <v>20</v>
      </c>
      <c r="B17" s="110">
        <f>'W-BT Mielies'!F28</f>
        <v>6930.69</v>
      </c>
      <c r="C17" s="94"/>
      <c r="D17" s="458" t="s">
        <v>21</v>
      </c>
      <c r="E17" s="460"/>
      <c r="F17" s="22">
        <f>G17-250</f>
        <v>2800</v>
      </c>
      <c r="G17" s="22">
        <f>H17-250</f>
        <v>3050</v>
      </c>
      <c r="H17" s="22">
        <f>I17-250</f>
        <v>3300</v>
      </c>
      <c r="I17" s="22">
        <f>J17-250</f>
        <v>3550</v>
      </c>
      <c r="J17" s="199">
        <f>B22</f>
        <v>3800</v>
      </c>
      <c r="K17" s="22">
        <f>J17+250</f>
        <v>4050</v>
      </c>
      <c r="L17" s="22">
        <f>K17+250</f>
        <v>4300</v>
      </c>
      <c r="M17" s="22">
        <f>L17+250</f>
        <v>4550</v>
      </c>
      <c r="N17" s="22">
        <f>M17+250</f>
        <v>4800</v>
      </c>
      <c r="P17" s="458" t="s">
        <v>21</v>
      </c>
      <c r="Q17" s="460"/>
      <c r="R17" s="22">
        <f>S17-250</f>
        <v>2800</v>
      </c>
      <c r="S17" s="22">
        <f>T17-250</f>
        <v>3050</v>
      </c>
      <c r="T17" s="22">
        <f>U17-250</f>
        <v>3300</v>
      </c>
      <c r="U17" s="22">
        <f>V17-250</f>
        <v>3550</v>
      </c>
      <c r="V17" s="197">
        <f>J17</f>
        <v>3800</v>
      </c>
      <c r="W17" s="22">
        <f>V17+250</f>
        <v>4050</v>
      </c>
      <c r="X17" s="22">
        <f>W17+250</f>
        <v>4300</v>
      </c>
      <c r="Y17" s="22">
        <f>X17+250</f>
        <v>4550</v>
      </c>
      <c r="Z17" s="22">
        <f>Y17+250</f>
        <v>4800</v>
      </c>
    </row>
    <row r="18" spans="1:26" ht="13.5" customHeight="1" thickBot="1" x14ac:dyDescent="0.3">
      <c r="A18" s="106" t="s">
        <v>22</v>
      </c>
      <c r="B18" s="111">
        <f>B17+B16</f>
        <v>22438.71802246914</v>
      </c>
      <c r="C18" s="95"/>
      <c r="D18" s="456" t="s">
        <v>23</v>
      </c>
      <c r="E18" s="457"/>
      <c r="F18" s="23">
        <f t="shared" ref="F18:N18" si="0">F17-$B$23</f>
        <v>2413.71</v>
      </c>
      <c r="G18" s="23">
        <f t="shared" si="0"/>
        <v>2663.71</v>
      </c>
      <c r="H18" s="23">
        <f t="shared" si="0"/>
        <v>2913.71</v>
      </c>
      <c r="I18" s="23">
        <f t="shared" si="0"/>
        <v>3163.71</v>
      </c>
      <c r="J18" s="200">
        <f t="shared" si="0"/>
        <v>3413.71</v>
      </c>
      <c r="K18" s="23">
        <f t="shared" si="0"/>
        <v>3663.71</v>
      </c>
      <c r="L18" s="23">
        <f t="shared" si="0"/>
        <v>3913.71</v>
      </c>
      <c r="M18" s="23">
        <f t="shared" si="0"/>
        <v>4163.71</v>
      </c>
      <c r="N18" s="23">
        <f t="shared" si="0"/>
        <v>4413.71</v>
      </c>
      <c r="P18" s="456" t="s">
        <v>23</v>
      </c>
      <c r="Q18" s="457"/>
      <c r="R18" s="23">
        <f t="shared" ref="R18:Z18" si="1">R17-$B$23</f>
        <v>2413.71</v>
      </c>
      <c r="S18" s="23">
        <f t="shared" si="1"/>
        <v>2663.71</v>
      </c>
      <c r="T18" s="23">
        <f t="shared" si="1"/>
        <v>2913.71</v>
      </c>
      <c r="U18" s="23">
        <f t="shared" si="1"/>
        <v>3163.71</v>
      </c>
      <c r="V18" s="201">
        <f t="shared" si="1"/>
        <v>3413.71</v>
      </c>
      <c r="W18" s="23">
        <f t="shared" si="1"/>
        <v>3663.71</v>
      </c>
      <c r="X18" s="23">
        <f t="shared" si="1"/>
        <v>3913.71</v>
      </c>
      <c r="Y18" s="23">
        <f t="shared" si="1"/>
        <v>4163.71</v>
      </c>
      <c r="Z18" s="23">
        <f t="shared" si="1"/>
        <v>4413.71</v>
      </c>
    </row>
    <row r="19" spans="1:26" ht="13.5" customHeight="1" thickBot="1" x14ac:dyDescent="0.3">
      <c r="A19" s="105"/>
      <c r="B19" s="109"/>
      <c r="C19" s="94"/>
      <c r="D19" s="461" t="s">
        <v>24</v>
      </c>
      <c r="E19" s="24">
        <f>E20-0.5</f>
        <v>3</v>
      </c>
      <c r="F19" s="25">
        <f t="shared" ref="F19:N23" si="2">F$18-($B$18/$E19)</f>
        <v>-5065.8626741563803</v>
      </c>
      <c r="G19" s="26">
        <f t="shared" si="2"/>
        <v>-4815.8626741563803</v>
      </c>
      <c r="H19" s="26">
        <f t="shared" si="2"/>
        <v>-4565.8626741563803</v>
      </c>
      <c r="I19" s="26">
        <f t="shared" si="2"/>
        <v>-4315.8626741563803</v>
      </c>
      <c r="J19" s="26">
        <f t="shared" si="2"/>
        <v>-4065.8626741563803</v>
      </c>
      <c r="K19" s="26">
        <f t="shared" si="2"/>
        <v>-3815.8626741563803</v>
      </c>
      <c r="L19" s="26">
        <f t="shared" si="2"/>
        <v>-3565.8626741563803</v>
      </c>
      <c r="M19" s="27">
        <f t="shared" si="2"/>
        <v>-3315.8626741563803</v>
      </c>
      <c r="N19" s="28">
        <f t="shared" si="2"/>
        <v>-3065.8626741563803</v>
      </c>
      <c r="P19" s="461" t="s">
        <v>24</v>
      </c>
      <c r="Q19" s="24">
        <f>Q20-0.5</f>
        <v>3</v>
      </c>
      <c r="R19" s="25">
        <f>R$18-($B$16/$E19)</f>
        <v>-2755.6326741563798</v>
      </c>
      <c r="S19" s="25">
        <f t="shared" ref="S19:Z23" si="3">S$18-($B$16/$E19)</f>
        <v>-2505.6326741563798</v>
      </c>
      <c r="T19" s="25">
        <f t="shared" si="3"/>
        <v>-2255.6326741563798</v>
      </c>
      <c r="U19" s="25">
        <f t="shared" si="3"/>
        <v>-2005.6326741563798</v>
      </c>
      <c r="V19" s="25">
        <f t="shared" si="3"/>
        <v>-1755.6326741563798</v>
      </c>
      <c r="W19" s="25">
        <f t="shared" si="3"/>
        <v>-1505.6326741563798</v>
      </c>
      <c r="X19" s="25">
        <f t="shared" si="3"/>
        <v>-1255.6326741563798</v>
      </c>
      <c r="Y19" s="25">
        <f t="shared" si="3"/>
        <v>-1005.6326741563798</v>
      </c>
      <c r="Z19" s="25">
        <f t="shared" si="3"/>
        <v>-755.63267415637984</v>
      </c>
    </row>
    <row r="20" spans="1:26" ht="13.5" customHeight="1" thickBot="1" x14ac:dyDescent="0.3">
      <c r="A20" s="105" t="s">
        <v>25</v>
      </c>
      <c r="B20" s="202">
        <v>4</v>
      </c>
      <c r="C20" s="94"/>
      <c r="D20" s="462"/>
      <c r="E20" s="24">
        <f>E21-0.5</f>
        <v>3.5</v>
      </c>
      <c r="F20" s="29">
        <f t="shared" si="2"/>
        <v>-3997.35229213404</v>
      </c>
      <c r="G20" s="30">
        <f t="shared" si="2"/>
        <v>-3747.35229213404</v>
      </c>
      <c r="H20" s="30">
        <f t="shared" si="2"/>
        <v>-3497.35229213404</v>
      </c>
      <c r="I20" s="30">
        <f t="shared" si="2"/>
        <v>-3247.35229213404</v>
      </c>
      <c r="J20" s="30">
        <f t="shared" si="2"/>
        <v>-2997.35229213404</v>
      </c>
      <c r="K20" s="31">
        <f t="shared" si="2"/>
        <v>-2747.35229213404</v>
      </c>
      <c r="L20" s="31">
        <f t="shared" si="2"/>
        <v>-2497.35229213404</v>
      </c>
      <c r="M20" s="31">
        <f t="shared" si="2"/>
        <v>-2247.35229213404</v>
      </c>
      <c r="N20" s="32">
        <f t="shared" si="2"/>
        <v>-1997.35229213404</v>
      </c>
      <c r="P20" s="462"/>
      <c r="Q20" s="24">
        <f>Q21-0.5</f>
        <v>3.5</v>
      </c>
      <c r="R20" s="25">
        <f>R$18-($B$16/$E20)</f>
        <v>-2017.1551492768967</v>
      </c>
      <c r="S20" s="25">
        <f t="shared" si="3"/>
        <v>-1767.1551492768967</v>
      </c>
      <c r="T20" s="25">
        <f t="shared" si="3"/>
        <v>-1517.1551492768967</v>
      </c>
      <c r="U20" s="25">
        <f t="shared" si="3"/>
        <v>-1267.1551492768967</v>
      </c>
      <c r="V20" s="25">
        <f t="shared" si="3"/>
        <v>-1017.1551492768967</v>
      </c>
      <c r="W20" s="25">
        <f t="shared" si="3"/>
        <v>-767.15514927689674</v>
      </c>
      <c r="X20" s="25">
        <f t="shared" si="3"/>
        <v>-517.15514927689674</v>
      </c>
      <c r="Y20" s="25">
        <f t="shared" si="3"/>
        <v>-267.15514927689674</v>
      </c>
      <c r="Z20" s="25">
        <f t="shared" si="3"/>
        <v>-17.155149276896736</v>
      </c>
    </row>
    <row r="21" spans="1:26" ht="13.5" customHeight="1" thickBot="1" x14ac:dyDescent="0.3">
      <c r="A21" s="105"/>
      <c r="B21" s="109"/>
      <c r="C21" s="94"/>
      <c r="D21" s="462"/>
      <c r="E21" s="203">
        <f>B20</f>
        <v>4</v>
      </c>
      <c r="F21" s="29">
        <f t="shared" si="2"/>
        <v>-3195.969505617285</v>
      </c>
      <c r="G21" s="30">
        <f t="shared" si="2"/>
        <v>-2945.969505617285</v>
      </c>
      <c r="H21" s="30">
        <f>H$18-($B$18/$E21)</f>
        <v>-2695.969505617285</v>
      </c>
      <c r="I21" s="30">
        <f>I$18-($B$18/$E21)</f>
        <v>-2445.969505617285</v>
      </c>
      <c r="J21" s="142">
        <f>J$18-($B$18/$E21)</f>
        <v>-2195.969505617285</v>
      </c>
      <c r="K21" s="31">
        <f t="shared" si="2"/>
        <v>-1945.969505617285</v>
      </c>
      <c r="L21" s="31">
        <f t="shared" si="2"/>
        <v>-1695.969505617285</v>
      </c>
      <c r="M21" s="31">
        <f t="shared" si="2"/>
        <v>-1445.969505617285</v>
      </c>
      <c r="N21" s="32">
        <f t="shared" si="2"/>
        <v>-1195.969505617285</v>
      </c>
      <c r="P21" s="462"/>
      <c r="Q21" s="203">
        <f>E21</f>
        <v>4</v>
      </c>
      <c r="R21" s="25">
        <f>R$18-($B$16/$E21)</f>
        <v>-1463.2970056172849</v>
      </c>
      <c r="S21" s="25">
        <f>S$18-($B$16/$E21)</f>
        <v>-1213.2970056172849</v>
      </c>
      <c r="T21" s="25">
        <f t="shared" si="3"/>
        <v>-963.29700561728487</v>
      </c>
      <c r="U21" s="25">
        <f t="shared" si="3"/>
        <v>-713.29700561728487</v>
      </c>
      <c r="V21" s="25">
        <f t="shared" si="3"/>
        <v>-463.29700561728487</v>
      </c>
      <c r="W21" s="25">
        <f t="shared" si="3"/>
        <v>-213.29700561728487</v>
      </c>
      <c r="X21" s="25">
        <f t="shared" si="3"/>
        <v>36.702994382715133</v>
      </c>
      <c r="Y21" s="25">
        <f t="shared" si="3"/>
        <v>286.70299438271513</v>
      </c>
      <c r="Z21" s="25">
        <f t="shared" si="3"/>
        <v>536.70299438271513</v>
      </c>
    </row>
    <row r="22" spans="1:26" ht="13.5" customHeight="1" thickBot="1" x14ac:dyDescent="0.3">
      <c r="A22" s="105" t="s">
        <v>26</v>
      </c>
      <c r="B22" s="110">
        <f>B4</f>
        <v>3800</v>
      </c>
      <c r="C22" s="94"/>
      <c r="D22" s="462"/>
      <c r="E22" s="24">
        <f>E21+0.5</f>
        <v>4.5</v>
      </c>
      <c r="F22" s="29">
        <f t="shared" si="2"/>
        <v>-2572.6717827709199</v>
      </c>
      <c r="G22" s="30">
        <f t="shared" si="2"/>
        <v>-2322.6717827709199</v>
      </c>
      <c r="H22" s="30">
        <f t="shared" si="2"/>
        <v>-2072.6717827709199</v>
      </c>
      <c r="I22" s="31">
        <f t="shared" si="2"/>
        <v>-1822.6717827709199</v>
      </c>
      <c r="J22" s="31">
        <f t="shared" si="2"/>
        <v>-1572.6717827709199</v>
      </c>
      <c r="K22" s="31">
        <f t="shared" si="2"/>
        <v>-1322.6717827709199</v>
      </c>
      <c r="L22" s="31">
        <f t="shared" si="2"/>
        <v>-1072.6717827709199</v>
      </c>
      <c r="M22" s="31">
        <f t="shared" si="2"/>
        <v>-822.67178277091989</v>
      </c>
      <c r="N22" s="32">
        <f t="shared" si="2"/>
        <v>-572.67178277091989</v>
      </c>
      <c r="P22" s="462"/>
      <c r="Q22" s="24">
        <f>Q21+0.5</f>
        <v>4.5</v>
      </c>
      <c r="R22" s="25">
        <f>R$18-($B$16/$E22)</f>
        <v>-1032.5184494375867</v>
      </c>
      <c r="S22" s="25">
        <f t="shared" si="3"/>
        <v>-782.5184494375867</v>
      </c>
      <c r="T22" s="25">
        <f t="shared" si="3"/>
        <v>-532.5184494375867</v>
      </c>
      <c r="U22" s="25">
        <f t="shared" si="3"/>
        <v>-282.5184494375867</v>
      </c>
      <c r="V22" s="25">
        <f t="shared" si="3"/>
        <v>-32.518449437586696</v>
      </c>
      <c r="W22" s="25">
        <f t="shared" si="3"/>
        <v>217.4815505624133</v>
      </c>
      <c r="X22" s="25">
        <f t="shared" si="3"/>
        <v>467.4815505624133</v>
      </c>
      <c r="Y22" s="25">
        <f t="shared" si="3"/>
        <v>717.4815505624133</v>
      </c>
      <c r="Z22" s="25">
        <f t="shared" si="3"/>
        <v>967.4815505624133</v>
      </c>
    </row>
    <row r="23" spans="1:26" ht="13.5" customHeight="1" thickBot="1" x14ac:dyDescent="0.3">
      <c r="A23" s="107" t="s">
        <v>27</v>
      </c>
      <c r="B23" s="110">
        <f>D4</f>
        <v>386.29</v>
      </c>
      <c r="C23" s="94"/>
      <c r="D23" s="463"/>
      <c r="E23" s="24">
        <f>E22+0.5</f>
        <v>5</v>
      </c>
      <c r="F23" s="33">
        <f t="shared" si="2"/>
        <v>-2074.0336044938276</v>
      </c>
      <c r="G23" s="34">
        <f t="shared" si="2"/>
        <v>-1824.0336044938276</v>
      </c>
      <c r="H23" s="35">
        <f t="shared" si="2"/>
        <v>-1574.0336044938276</v>
      </c>
      <c r="I23" s="35">
        <f t="shared" si="2"/>
        <v>-1324.0336044938276</v>
      </c>
      <c r="J23" s="35">
        <f t="shared" si="2"/>
        <v>-1074.0336044938276</v>
      </c>
      <c r="K23" s="35">
        <f t="shared" si="2"/>
        <v>-824.03360449382762</v>
      </c>
      <c r="L23" s="35">
        <f t="shared" si="2"/>
        <v>-574.03360449382762</v>
      </c>
      <c r="M23" s="35">
        <f t="shared" si="2"/>
        <v>-324.03360449382762</v>
      </c>
      <c r="N23" s="36">
        <f>N$18-($B$18/$E23)</f>
        <v>-74.033604493827625</v>
      </c>
      <c r="P23" s="463"/>
      <c r="Q23" s="24">
        <f>Q22+0.5</f>
        <v>5</v>
      </c>
      <c r="R23" s="25">
        <f>R$18-($B$16/$E23)</f>
        <v>-687.8956044938277</v>
      </c>
      <c r="S23" s="25">
        <f>S$18-($B$16/$E23)</f>
        <v>-437.8956044938277</v>
      </c>
      <c r="T23" s="25">
        <f t="shared" si="3"/>
        <v>-187.8956044938277</v>
      </c>
      <c r="U23" s="25">
        <f t="shared" si="3"/>
        <v>62.104395506172295</v>
      </c>
      <c r="V23" s="25">
        <f t="shared" si="3"/>
        <v>312.1043955061723</v>
      </c>
      <c r="W23" s="25">
        <f t="shared" si="3"/>
        <v>562.1043955061723</v>
      </c>
      <c r="X23" s="25">
        <f t="shared" si="3"/>
        <v>812.1043955061723</v>
      </c>
      <c r="Y23" s="25">
        <f t="shared" si="3"/>
        <v>1062.1043955061723</v>
      </c>
      <c r="Z23" s="25">
        <f t="shared" si="3"/>
        <v>1312.1043955061723</v>
      </c>
    </row>
    <row r="24" spans="1:26" ht="13.5" customHeight="1" x14ac:dyDescent="0.25">
      <c r="A24" s="108" t="s">
        <v>28</v>
      </c>
      <c r="B24" s="111">
        <f>B22-B23</f>
        <v>3413.71</v>
      </c>
      <c r="C24" s="94"/>
      <c r="D24" s="37"/>
      <c r="E24" s="38"/>
      <c r="F24" s="39"/>
      <c r="G24" s="39"/>
      <c r="H24" s="39"/>
      <c r="I24" s="39"/>
      <c r="J24" s="39"/>
      <c r="K24" s="39"/>
      <c r="L24" s="39"/>
      <c r="P24" s="37"/>
      <c r="Q24" s="38"/>
      <c r="R24" s="39"/>
      <c r="S24" s="39"/>
      <c r="T24" s="39"/>
      <c r="U24" s="39"/>
      <c r="V24" s="39"/>
      <c r="W24" s="39"/>
      <c r="X24" s="39"/>
    </row>
    <row r="25" spans="1:26" ht="13.5" customHeight="1" x14ac:dyDescent="0.25">
      <c r="A25" s="108"/>
      <c r="B25" s="449"/>
      <c r="C25" s="94"/>
      <c r="D25" s="37"/>
      <c r="E25" s="38"/>
      <c r="F25" s="39"/>
      <c r="G25" s="39"/>
      <c r="H25" s="39"/>
      <c r="I25" s="39"/>
      <c r="J25" s="39"/>
      <c r="K25" s="39"/>
      <c r="L25" s="39"/>
      <c r="P25" s="37"/>
      <c r="Q25" s="38"/>
      <c r="R25" s="39"/>
      <c r="S25" s="39"/>
      <c r="T25" s="39"/>
      <c r="U25" s="39"/>
      <c r="V25" s="39"/>
      <c r="W25" s="39"/>
      <c r="X25" s="39"/>
    </row>
    <row r="26" spans="1:26" ht="13.5" customHeight="1" x14ac:dyDescent="0.25">
      <c r="A26" s="108"/>
      <c r="B26" s="449"/>
      <c r="C26" s="94"/>
      <c r="D26" s="37"/>
      <c r="E26" s="38"/>
      <c r="F26" s="39"/>
      <c r="G26" s="39"/>
      <c r="H26" s="39"/>
      <c r="I26" s="39"/>
      <c r="J26" s="39"/>
      <c r="K26" s="39"/>
      <c r="L26" s="39"/>
      <c r="P26" s="37"/>
      <c r="Q26" s="38"/>
      <c r="R26" s="39"/>
      <c r="S26" s="39"/>
      <c r="T26" s="39"/>
      <c r="U26" s="39"/>
      <c r="V26" s="39"/>
      <c r="W26" s="39"/>
      <c r="X26" s="39"/>
    </row>
    <row r="27" spans="1:26" ht="13.5" customHeight="1" thickBot="1" x14ac:dyDescent="0.3">
      <c r="A27" s="465"/>
      <c r="B27" s="465"/>
      <c r="D27" s="37"/>
      <c r="E27" s="38"/>
      <c r="F27" s="39"/>
      <c r="G27" s="39"/>
      <c r="H27" s="39"/>
      <c r="I27" s="39"/>
      <c r="J27" s="39"/>
      <c r="K27" s="39"/>
      <c r="L27" s="39"/>
      <c r="P27" s="37"/>
      <c r="Q27" s="38"/>
      <c r="R27" s="39"/>
      <c r="S27" s="39"/>
      <c r="T27" s="39"/>
      <c r="U27" s="39"/>
      <c r="V27" s="39"/>
      <c r="W27" s="39"/>
      <c r="X27" s="39"/>
    </row>
    <row r="28" spans="1:26" ht="18.75" customHeight="1" thickBot="1" x14ac:dyDescent="0.3">
      <c r="A28" s="467" t="s">
        <v>29</v>
      </c>
      <c r="B28" s="467"/>
      <c r="C28" s="93"/>
      <c r="D28" s="458" t="s">
        <v>30</v>
      </c>
      <c r="E28" s="459"/>
      <c r="F28" s="459"/>
      <c r="G28" s="459"/>
      <c r="H28" s="459"/>
      <c r="I28" s="459"/>
      <c r="J28" s="459"/>
      <c r="K28" s="459"/>
      <c r="L28" s="459"/>
      <c r="M28" s="459"/>
      <c r="N28" s="460"/>
      <c r="P28" s="458" t="s">
        <v>31</v>
      </c>
      <c r="Q28" s="459"/>
      <c r="R28" s="459"/>
      <c r="S28" s="459"/>
      <c r="T28" s="459"/>
      <c r="U28" s="459"/>
      <c r="V28" s="459"/>
      <c r="W28" s="459"/>
      <c r="X28" s="459"/>
      <c r="Y28" s="459"/>
      <c r="Z28" s="460"/>
    </row>
    <row r="29" spans="1:26" ht="13.5" customHeight="1" thickBot="1" x14ac:dyDescent="0.3">
      <c r="A29" s="105" t="s">
        <v>18</v>
      </c>
      <c r="B29" s="110">
        <f>'Crop Comparison'!D28</f>
        <v>8992.9382715949087</v>
      </c>
      <c r="C29" s="94"/>
      <c r="D29" s="19"/>
      <c r="E29" s="20"/>
      <c r="F29" s="197"/>
      <c r="G29" s="21"/>
      <c r="H29" s="197"/>
      <c r="I29" s="197"/>
      <c r="J29" s="197" t="s">
        <v>19</v>
      </c>
      <c r="K29" s="198"/>
      <c r="L29" s="197"/>
      <c r="M29" s="198"/>
      <c r="N29" s="197"/>
      <c r="P29" s="19"/>
      <c r="Q29" s="20"/>
      <c r="R29" s="197"/>
      <c r="S29" s="21"/>
      <c r="T29" s="197"/>
      <c r="U29" s="197"/>
      <c r="V29" s="197" t="s">
        <v>19</v>
      </c>
      <c r="W29" s="198"/>
      <c r="X29" s="197"/>
      <c r="Y29" s="198"/>
      <c r="Z29" s="197"/>
    </row>
    <row r="30" spans="1:26" ht="13.5" customHeight="1" thickBot="1" x14ac:dyDescent="0.3">
      <c r="A30" s="105" t="s">
        <v>20</v>
      </c>
      <c r="B30" s="110">
        <f>'Crop Comparison'!D30</f>
        <v>5934.62</v>
      </c>
      <c r="C30" s="94"/>
      <c r="D30" s="458" t="s">
        <v>21</v>
      </c>
      <c r="E30" s="460"/>
      <c r="F30" s="40">
        <f>G30-200</f>
        <v>9200</v>
      </c>
      <c r="G30" s="40">
        <f>H30-200</f>
        <v>9400</v>
      </c>
      <c r="H30" s="40">
        <f>I30-200</f>
        <v>9600</v>
      </c>
      <c r="I30" s="41">
        <f>J30-200</f>
        <v>9800</v>
      </c>
      <c r="J30" s="204">
        <f>B35</f>
        <v>10000</v>
      </c>
      <c r="K30" s="41">
        <f>J30+200</f>
        <v>10200</v>
      </c>
      <c r="L30" s="41">
        <f>K30+200</f>
        <v>10400</v>
      </c>
      <c r="M30" s="41">
        <f>L30+200</f>
        <v>10600</v>
      </c>
      <c r="N30" s="41">
        <f>M30+200</f>
        <v>10800</v>
      </c>
      <c r="P30" s="458" t="s">
        <v>21</v>
      </c>
      <c r="Q30" s="460"/>
      <c r="R30" s="40">
        <f>S30-200</f>
        <v>9200</v>
      </c>
      <c r="S30" s="40">
        <f>T30-200</f>
        <v>9400</v>
      </c>
      <c r="T30" s="40">
        <f>U30-200</f>
        <v>9600</v>
      </c>
      <c r="U30" s="41">
        <f>V30-200</f>
        <v>9800</v>
      </c>
      <c r="V30" s="204">
        <f>J30</f>
        <v>10000</v>
      </c>
      <c r="W30" s="41">
        <f>V30+200</f>
        <v>10200</v>
      </c>
      <c r="X30" s="41">
        <f>W30+200</f>
        <v>10400</v>
      </c>
      <c r="Y30" s="41">
        <f>X30+200</f>
        <v>10600</v>
      </c>
      <c r="Z30" s="41">
        <f>Y30+200</f>
        <v>10800</v>
      </c>
    </row>
    <row r="31" spans="1:26" ht="13.5" customHeight="1" thickBot="1" x14ac:dyDescent="0.3">
      <c r="A31" s="106" t="s">
        <v>22</v>
      </c>
      <c r="B31" s="112">
        <f>B30+B29</f>
        <v>14927.558271594909</v>
      </c>
      <c r="C31" s="95"/>
      <c r="D31" s="456" t="s">
        <v>23</v>
      </c>
      <c r="E31" s="457"/>
      <c r="F31" s="42">
        <f t="shared" ref="F31:N31" si="4">F30-$B$36</f>
        <v>8754.4500000000007</v>
      </c>
      <c r="G31" s="42">
        <f t="shared" si="4"/>
        <v>8954.4500000000007</v>
      </c>
      <c r="H31" s="42">
        <f t="shared" si="4"/>
        <v>9154.4500000000007</v>
      </c>
      <c r="I31" s="42">
        <f t="shared" si="4"/>
        <v>9354.4500000000007</v>
      </c>
      <c r="J31" s="205">
        <f t="shared" si="4"/>
        <v>9554.4500000000007</v>
      </c>
      <c r="K31" s="42">
        <f t="shared" si="4"/>
        <v>9754.4500000000007</v>
      </c>
      <c r="L31" s="42">
        <f t="shared" si="4"/>
        <v>9954.4500000000007</v>
      </c>
      <c r="M31" s="42">
        <f t="shared" si="4"/>
        <v>10154.450000000001</v>
      </c>
      <c r="N31" s="42">
        <f t="shared" si="4"/>
        <v>10354.450000000001</v>
      </c>
      <c r="P31" s="456" t="s">
        <v>23</v>
      </c>
      <c r="Q31" s="457"/>
      <c r="R31" s="42">
        <f t="shared" ref="R31:Z31" si="5">R30-$B$36</f>
        <v>8754.4500000000007</v>
      </c>
      <c r="S31" s="42">
        <f t="shared" si="5"/>
        <v>8954.4500000000007</v>
      </c>
      <c r="T31" s="42">
        <f t="shared" si="5"/>
        <v>9154.4500000000007</v>
      </c>
      <c r="U31" s="42">
        <f t="shared" si="5"/>
        <v>9354.4500000000007</v>
      </c>
      <c r="V31" s="205">
        <f t="shared" si="5"/>
        <v>9554.4500000000007</v>
      </c>
      <c r="W31" s="42">
        <f t="shared" si="5"/>
        <v>9754.4500000000007</v>
      </c>
      <c r="X31" s="42">
        <f t="shared" si="5"/>
        <v>9954.4500000000007</v>
      </c>
      <c r="Y31" s="42">
        <f t="shared" si="5"/>
        <v>10154.450000000001</v>
      </c>
      <c r="Z31" s="42">
        <f t="shared" si="5"/>
        <v>10354.450000000001</v>
      </c>
    </row>
    <row r="32" spans="1:26" ht="13.5" customHeight="1" thickBot="1" x14ac:dyDescent="0.3">
      <c r="A32" s="105"/>
      <c r="B32" s="109"/>
      <c r="C32" s="94"/>
      <c r="D32" s="461" t="s">
        <v>24</v>
      </c>
      <c r="E32" s="24">
        <f>E33-0.25</f>
        <v>0.5</v>
      </c>
      <c r="F32" s="25">
        <f t="shared" ref="F32:N32" si="6">F$31-($B$31/$E32)</f>
        <v>-21100.666543189818</v>
      </c>
      <c r="G32" s="25">
        <f t="shared" si="6"/>
        <v>-20900.666543189818</v>
      </c>
      <c r="H32" s="25">
        <f t="shared" si="6"/>
        <v>-20700.666543189818</v>
      </c>
      <c r="I32" s="25">
        <f t="shared" si="6"/>
        <v>-20500.666543189818</v>
      </c>
      <c r="J32" s="25">
        <f t="shared" si="6"/>
        <v>-20300.666543189818</v>
      </c>
      <c r="K32" s="25">
        <f t="shared" si="6"/>
        <v>-20100.666543189818</v>
      </c>
      <c r="L32" s="25">
        <f t="shared" si="6"/>
        <v>-19900.666543189818</v>
      </c>
      <c r="M32" s="25">
        <f t="shared" si="6"/>
        <v>-19700.666543189818</v>
      </c>
      <c r="N32" s="25">
        <f t="shared" si="6"/>
        <v>-19500.666543189818</v>
      </c>
      <c r="P32" s="461" t="s">
        <v>24</v>
      </c>
      <c r="Q32" s="24">
        <f>Q33-0.25</f>
        <v>0.5</v>
      </c>
      <c r="R32" s="25">
        <f>R$31-($B$29/$E32)</f>
        <v>-9231.4265431898166</v>
      </c>
      <c r="S32" s="25">
        <f t="shared" ref="S32:Z33" si="7">S$31-($B$29/$E32)</f>
        <v>-9031.4265431898166</v>
      </c>
      <c r="T32" s="25">
        <f t="shared" si="7"/>
        <v>-8831.4265431898166</v>
      </c>
      <c r="U32" s="25">
        <f t="shared" si="7"/>
        <v>-8631.4265431898166</v>
      </c>
      <c r="V32" s="25">
        <f t="shared" si="7"/>
        <v>-8431.4265431898166</v>
      </c>
      <c r="W32" s="25">
        <f t="shared" si="7"/>
        <v>-8231.4265431898166</v>
      </c>
      <c r="X32" s="25">
        <f t="shared" si="7"/>
        <v>-8031.4265431898166</v>
      </c>
      <c r="Y32" s="25">
        <f t="shared" si="7"/>
        <v>-7831.4265431898166</v>
      </c>
      <c r="Z32" s="25">
        <f t="shared" si="7"/>
        <v>-7631.4265431898166</v>
      </c>
    </row>
    <row r="33" spans="1:26" ht="13.5" customHeight="1" thickBot="1" x14ac:dyDescent="0.3">
      <c r="A33" s="105" t="s">
        <v>25</v>
      </c>
      <c r="B33" s="202">
        <v>1</v>
      </c>
      <c r="C33" s="94"/>
      <c r="D33" s="462"/>
      <c r="E33" s="24">
        <f>E34-0.25</f>
        <v>0.75</v>
      </c>
      <c r="F33" s="25">
        <f t="shared" ref="F33:N34" si="8">F$31-($B$31/$E33)</f>
        <v>-11148.961028793212</v>
      </c>
      <c r="G33" s="25">
        <f t="shared" si="8"/>
        <v>-10948.961028793212</v>
      </c>
      <c r="H33" s="25">
        <f t="shared" si="8"/>
        <v>-10748.961028793212</v>
      </c>
      <c r="I33" s="25">
        <f t="shared" si="8"/>
        <v>-10548.961028793212</v>
      </c>
      <c r="J33" s="25">
        <f t="shared" si="8"/>
        <v>-10348.961028793212</v>
      </c>
      <c r="K33" s="25">
        <f t="shared" si="8"/>
        <v>-10148.961028793212</v>
      </c>
      <c r="L33" s="25">
        <f t="shared" si="8"/>
        <v>-9948.9610287932119</v>
      </c>
      <c r="M33" s="25">
        <f t="shared" si="8"/>
        <v>-9748.9610287932119</v>
      </c>
      <c r="N33" s="25">
        <f t="shared" si="8"/>
        <v>-9548.9610287932119</v>
      </c>
      <c r="P33" s="462"/>
      <c r="Q33" s="24">
        <f>Q34-0.25</f>
        <v>0.75</v>
      </c>
      <c r="R33" s="25">
        <f>R$31-($B$29/$E33)</f>
        <v>-3236.1343621265441</v>
      </c>
      <c r="S33" s="25">
        <f t="shared" si="7"/>
        <v>-3036.1343621265441</v>
      </c>
      <c r="T33" s="25">
        <f t="shared" si="7"/>
        <v>-2836.1343621265441</v>
      </c>
      <c r="U33" s="25">
        <f t="shared" si="7"/>
        <v>-2636.1343621265441</v>
      </c>
      <c r="V33" s="25">
        <f t="shared" si="7"/>
        <v>-2436.1343621265441</v>
      </c>
      <c r="W33" s="25">
        <f t="shared" si="7"/>
        <v>-2236.1343621265441</v>
      </c>
      <c r="X33" s="25">
        <f t="shared" si="7"/>
        <v>-2036.1343621265441</v>
      </c>
      <c r="Y33" s="25">
        <f t="shared" si="7"/>
        <v>-1836.1343621265441</v>
      </c>
      <c r="Z33" s="25">
        <f t="shared" si="7"/>
        <v>-1636.1343621265441</v>
      </c>
    </row>
    <row r="34" spans="1:26" ht="13.5" customHeight="1" thickBot="1" x14ac:dyDescent="0.3">
      <c r="A34" s="105"/>
      <c r="B34" s="109"/>
      <c r="C34" s="94"/>
      <c r="D34" s="462"/>
      <c r="E34" s="203">
        <f>B33</f>
        <v>1</v>
      </c>
      <c r="F34" s="25">
        <f>F$31-($B$31/$E34)</f>
        <v>-6173.1082715949087</v>
      </c>
      <c r="G34" s="25">
        <f t="shared" si="8"/>
        <v>-5973.1082715949087</v>
      </c>
      <c r="H34" s="25">
        <f t="shared" si="8"/>
        <v>-5773.1082715949087</v>
      </c>
      <c r="I34" s="25">
        <f t="shared" si="8"/>
        <v>-5573.1082715949087</v>
      </c>
      <c r="J34" s="25">
        <f>J$31-($B$31/$E34)</f>
        <v>-5373.1082715949087</v>
      </c>
      <c r="K34" s="25">
        <f t="shared" si="8"/>
        <v>-5173.1082715949087</v>
      </c>
      <c r="L34" s="25">
        <f t="shared" si="8"/>
        <v>-4973.1082715949087</v>
      </c>
      <c r="M34" s="25">
        <f t="shared" si="8"/>
        <v>-4773.1082715949087</v>
      </c>
      <c r="N34" s="25">
        <f t="shared" si="8"/>
        <v>-4573.1082715949087</v>
      </c>
      <c r="P34" s="462"/>
      <c r="Q34" s="203">
        <f>E34</f>
        <v>1</v>
      </c>
      <c r="R34" s="25">
        <f t="shared" ref="R34:Z36" si="9">R$31-($B$29/$E34)</f>
        <v>-238.48827159490793</v>
      </c>
      <c r="S34" s="25">
        <f t="shared" si="9"/>
        <v>-38.488271594907928</v>
      </c>
      <c r="T34" s="25">
        <f t="shared" si="9"/>
        <v>161.51172840509207</v>
      </c>
      <c r="U34" s="25">
        <f t="shared" si="9"/>
        <v>361.51172840509207</v>
      </c>
      <c r="V34" s="25">
        <f t="shared" si="9"/>
        <v>561.51172840509207</v>
      </c>
      <c r="W34" s="25">
        <f t="shared" si="9"/>
        <v>761.51172840509207</v>
      </c>
      <c r="X34" s="25">
        <f t="shared" si="9"/>
        <v>961.51172840509207</v>
      </c>
      <c r="Y34" s="25">
        <f t="shared" si="9"/>
        <v>1161.5117284050921</v>
      </c>
      <c r="Z34" s="25">
        <f t="shared" si="9"/>
        <v>1361.5117284050921</v>
      </c>
    </row>
    <row r="35" spans="1:26" ht="13.5" customHeight="1" thickBot="1" x14ac:dyDescent="0.3">
      <c r="A35" s="105" t="s">
        <v>32</v>
      </c>
      <c r="B35" s="110">
        <f>B5</f>
        <v>10000</v>
      </c>
      <c r="C35" s="94"/>
      <c r="D35" s="462"/>
      <c r="E35" s="24">
        <f>E34+0.25</f>
        <v>1.25</v>
      </c>
      <c r="F35" s="25">
        <f t="shared" ref="F35:N36" si="10">F$31-($B$31/$E35)</f>
        <v>-3187.5966172759272</v>
      </c>
      <c r="G35" s="25">
        <f t="shared" si="10"/>
        <v>-2987.5966172759272</v>
      </c>
      <c r="H35" s="25">
        <f t="shared" si="10"/>
        <v>-2787.5966172759272</v>
      </c>
      <c r="I35" s="25">
        <f t="shared" si="10"/>
        <v>-2587.5966172759272</v>
      </c>
      <c r="J35" s="25">
        <f t="shared" si="10"/>
        <v>-2387.5966172759272</v>
      </c>
      <c r="K35" s="25">
        <f t="shared" si="10"/>
        <v>-2187.5966172759272</v>
      </c>
      <c r="L35" s="25">
        <f t="shared" si="10"/>
        <v>-1987.5966172759272</v>
      </c>
      <c r="M35" s="25">
        <f t="shared" si="10"/>
        <v>-1787.5966172759272</v>
      </c>
      <c r="N35" s="25">
        <f t="shared" si="10"/>
        <v>-1587.5966172759272</v>
      </c>
      <c r="P35" s="462"/>
      <c r="Q35" s="24">
        <f>Q34+0.25</f>
        <v>1.25</v>
      </c>
      <c r="R35" s="25">
        <f t="shared" si="9"/>
        <v>1560.0993827240736</v>
      </c>
      <c r="S35" s="25">
        <f t="shared" si="9"/>
        <v>1760.0993827240736</v>
      </c>
      <c r="T35" s="25">
        <f t="shared" si="9"/>
        <v>1960.0993827240736</v>
      </c>
      <c r="U35" s="25">
        <f t="shared" si="9"/>
        <v>2160.0993827240736</v>
      </c>
      <c r="V35" s="25">
        <f t="shared" si="9"/>
        <v>2360.0993827240736</v>
      </c>
      <c r="W35" s="25">
        <f t="shared" si="9"/>
        <v>2560.0993827240736</v>
      </c>
      <c r="X35" s="25">
        <f t="shared" si="9"/>
        <v>2760.0993827240736</v>
      </c>
      <c r="Y35" s="25">
        <f t="shared" si="9"/>
        <v>2960.0993827240736</v>
      </c>
      <c r="Z35" s="25">
        <f t="shared" si="9"/>
        <v>3160.0993827240736</v>
      </c>
    </row>
    <row r="36" spans="1:26" ht="13.5" customHeight="1" thickBot="1" x14ac:dyDescent="0.3">
      <c r="A36" s="107" t="s">
        <v>27</v>
      </c>
      <c r="B36" s="110">
        <f>D5</f>
        <v>445.55</v>
      </c>
      <c r="C36" s="94"/>
      <c r="D36" s="463"/>
      <c r="E36" s="24">
        <f>E35+0.25</f>
        <v>1.5</v>
      </c>
      <c r="F36" s="25">
        <f t="shared" si="10"/>
        <v>-1197.2555143966056</v>
      </c>
      <c r="G36" s="25">
        <f t="shared" si="10"/>
        <v>-997.25551439660558</v>
      </c>
      <c r="H36" s="25">
        <f t="shared" si="10"/>
        <v>-797.25551439660558</v>
      </c>
      <c r="I36" s="25">
        <f t="shared" si="10"/>
        <v>-597.25551439660558</v>
      </c>
      <c r="J36" s="25">
        <f t="shared" si="10"/>
        <v>-397.25551439660558</v>
      </c>
      <c r="K36" s="25">
        <f t="shared" si="10"/>
        <v>-197.25551439660558</v>
      </c>
      <c r="L36" s="25">
        <f t="shared" si="10"/>
        <v>2.7444856033944234</v>
      </c>
      <c r="M36" s="25">
        <f t="shared" si="10"/>
        <v>202.74448560339442</v>
      </c>
      <c r="N36" s="25">
        <f>N$31-($B$31/$E36)</f>
        <v>402.74448560339442</v>
      </c>
      <c r="P36" s="463"/>
      <c r="Q36" s="24">
        <f>Q35+0.25</f>
        <v>1.5</v>
      </c>
      <c r="R36" s="25">
        <f t="shared" si="9"/>
        <v>2759.1578189367283</v>
      </c>
      <c r="S36" s="25">
        <f t="shared" si="9"/>
        <v>2959.1578189367283</v>
      </c>
      <c r="T36" s="25">
        <f t="shared" si="9"/>
        <v>3159.1578189367283</v>
      </c>
      <c r="U36" s="25">
        <f t="shared" si="9"/>
        <v>3359.1578189367283</v>
      </c>
      <c r="V36" s="25">
        <f t="shared" si="9"/>
        <v>3559.1578189367283</v>
      </c>
      <c r="W36" s="25">
        <f t="shared" si="9"/>
        <v>3759.1578189367283</v>
      </c>
      <c r="X36" s="25">
        <f t="shared" si="9"/>
        <v>3959.1578189367283</v>
      </c>
      <c r="Y36" s="25">
        <f t="shared" si="9"/>
        <v>4159.1578189367283</v>
      </c>
      <c r="Z36" s="25">
        <f t="shared" si="9"/>
        <v>4359.1578189367283</v>
      </c>
    </row>
    <row r="37" spans="1:26" ht="13.5" customHeight="1" x14ac:dyDescent="0.25">
      <c r="A37" s="108" t="s">
        <v>28</v>
      </c>
      <c r="B37" s="112">
        <f>B35-B36</f>
        <v>9554.4500000000007</v>
      </c>
      <c r="C37" s="94"/>
      <c r="D37" s="37"/>
      <c r="E37" s="38"/>
      <c r="F37" s="39"/>
      <c r="G37" s="39"/>
      <c r="H37" s="39"/>
      <c r="I37" s="39"/>
      <c r="J37" s="39"/>
      <c r="K37" s="39"/>
      <c r="L37" s="39"/>
      <c r="P37" s="37"/>
      <c r="Q37" s="38"/>
      <c r="R37" s="39"/>
      <c r="S37" s="39"/>
      <c r="T37" s="39"/>
      <c r="U37" s="39"/>
      <c r="V37" s="39"/>
      <c r="W37" s="39"/>
      <c r="X37" s="39"/>
    </row>
    <row r="38" spans="1:26" ht="13.5" customHeight="1" x14ac:dyDescent="0.25">
      <c r="A38" s="108"/>
      <c r="B38" s="110"/>
      <c r="C38" s="94"/>
      <c r="D38" s="37"/>
      <c r="E38" s="38"/>
      <c r="F38" s="39"/>
      <c r="G38" s="39"/>
      <c r="H38" s="39"/>
      <c r="I38" s="39"/>
      <c r="J38" s="39"/>
      <c r="K38" s="39"/>
      <c r="L38" s="39"/>
      <c r="P38" s="37"/>
      <c r="Q38" s="38"/>
      <c r="R38" s="39"/>
      <c r="S38" s="39"/>
      <c r="T38" s="39"/>
      <c r="U38" s="39"/>
      <c r="V38" s="39"/>
      <c r="W38" s="39"/>
      <c r="X38" s="39"/>
    </row>
    <row r="39" spans="1:26" ht="13.5" customHeight="1" x14ac:dyDescent="0.25">
      <c r="D39" s="37"/>
      <c r="E39" s="38"/>
      <c r="F39" s="39"/>
      <c r="G39" s="39"/>
      <c r="H39" s="39"/>
      <c r="I39" s="39"/>
      <c r="J39" s="39"/>
      <c r="K39" s="39"/>
      <c r="L39" s="39"/>
      <c r="P39" s="37"/>
      <c r="Q39" s="38"/>
      <c r="R39" s="39"/>
      <c r="S39" s="39"/>
      <c r="T39" s="39"/>
      <c r="U39" s="39"/>
      <c r="V39" s="39"/>
      <c r="W39" s="39"/>
      <c r="X39" s="39"/>
    </row>
    <row r="40" spans="1:26" ht="13.5" customHeight="1" thickBot="1" x14ac:dyDescent="0.3">
      <c r="A40" s="465"/>
      <c r="B40" s="465"/>
    </row>
    <row r="41" spans="1:26" ht="19.5" customHeight="1" thickBot="1" x14ac:dyDescent="0.3">
      <c r="A41" s="467" t="s">
        <v>33</v>
      </c>
      <c r="B41" s="467"/>
      <c r="C41" s="93"/>
      <c r="D41" s="458" t="s">
        <v>34</v>
      </c>
      <c r="E41" s="459"/>
      <c r="F41" s="459"/>
      <c r="G41" s="459"/>
      <c r="H41" s="459"/>
      <c r="I41" s="459"/>
      <c r="J41" s="459"/>
      <c r="K41" s="459"/>
      <c r="L41" s="459"/>
      <c r="M41" s="459"/>
      <c r="N41" s="460"/>
      <c r="P41" s="458" t="s">
        <v>35</v>
      </c>
      <c r="Q41" s="459"/>
      <c r="R41" s="459"/>
      <c r="S41" s="459"/>
      <c r="T41" s="459"/>
      <c r="U41" s="459"/>
      <c r="V41" s="459"/>
      <c r="W41" s="459"/>
      <c r="X41" s="459"/>
      <c r="Y41" s="459"/>
      <c r="Z41" s="460"/>
    </row>
    <row r="42" spans="1:26" ht="13.5" customHeight="1" thickBot="1" x14ac:dyDescent="0.3">
      <c r="A42" s="105" t="s">
        <v>18</v>
      </c>
      <c r="B42" s="110">
        <f>'Crop Comparison'!E28</f>
        <v>12059.824215328314</v>
      </c>
      <c r="C42" s="96"/>
      <c r="D42" s="19"/>
      <c r="E42" s="20"/>
      <c r="F42" s="197"/>
      <c r="G42" s="21"/>
      <c r="H42" s="197"/>
      <c r="I42" s="197"/>
      <c r="J42" s="197" t="s">
        <v>36</v>
      </c>
      <c r="K42" s="198"/>
      <c r="L42" s="197"/>
      <c r="M42" s="198"/>
      <c r="N42" s="197"/>
      <c r="P42" s="19"/>
      <c r="Q42" s="20"/>
      <c r="R42" s="197"/>
      <c r="S42" s="21"/>
      <c r="T42" s="197"/>
      <c r="U42" s="197"/>
      <c r="V42" s="197" t="s">
        <v>36</v>
      </c>
      <c r="W42" s="198"/>
      <c r="X42" s="197"/>
      <c r="Y42" s="198"/>
      <c r="Z42" s="197"/>
    </row>
    <row r="43" spans="1:26" ht="13.5" customHeight="1" thickBot="1" x14ac:dyDescent="0.3">
      <c r="A43" s="105" t="s">
        <v>20</v>
      </c>
      <c r="B43" s="110">
        <f>Sojabone!H28</f>
        <v>6022.3399999999992</v>
      </c>
      <c r="C43" s="96"/>
      <c r="D43" s="458" t="s">
        <v>21</v>
      </c>
      <c r="E43" s="460"/>
      <c r="F43" s="22">
        <f>G43-200</f>
        <v>7100</v>
      </c>
      <c r="G43" s="22">
        <f>H43-200</f>
        <v>7300</v>
      </c>
      <c r="H43" s="22">
        <f>I43-200</f>
        <v>7500</v>
      </c>
      <c r="I43" s="22">
        <f>J43-200</f>
        <v>7700</v>
      </c>
      <c r="J43" s="199">
        <f>B48</f>
        <v>7900</v>
      </c>
      <c r="K43" s="22">
        <f>J43+200</f>
        <v>8100</v>
      </c>
      <c r="L43" s="22">
        <f>K43+200</f>
        <v>8300</v>
      </c>
      <c r="M43" s="22">
        <f>L43+200</f>
        <v>8500</v>
      </c>
      <c r="N43" s="22">
        <f>M43+200</f>
        <v>8700</v>
      </c>
      <c r="P43" s="458" t="s">
        <v>21</v>
      </c>
      <c r="Q43" s="460"/>
      <c r="R43" s="22">
        <f>S43-200</f>
        <v>7100</v>
      </c>
      <c r="S43" s="22">
        <f>T43-200</f>
        <v>7300</v>
      </c>
      <c r="T43" s="22">
        <f>U43-200</f>
        <v>7500</v>
      </c>
      <c r="U43" s="22">
        <f>V43-200</f>
        <v>7700</v>
      </c>
      <c r="V43" s="197">
        <f>J43</f>
        <v>7900</v>
      </c>
      <c r="W43" s="22">
        <f>V43+200</f>
        <v>8100</v>
      </c>
      <c r="X43" s="22">
        <f>W43+200</f>
        <v>8300</v>
      </c>
      <c r="Y43" s="22">
        <f>X43+200</f>
        <v>8500</v>
      </c>
      <c r="Z43" s="22">
        <f>Y43+200</f>
        <v>8700</v>
      </c>
    </row>
    <row r="44" spans="1:26" ht="13.5" customHeight="1" thickBot="1" x14ac:dyDescent="0.3">
      <c r="A44" s="106" t="s">
        <v>22</v>
      </c>
      <c r="B44" s="112">
        <f>B43+B42</f>
        <v>18082.164215328314</v>
      </c>
      <c r="C44" s="97"/>
      <c r="D44" s="456" t="s">
        <v>23</v>
      </c>
      <c r="E44" s="457"/>
      <c r="F44" s="43">
        <f t="shared" ref="F44:N44" si="11">F43-$B$49</f>
        <v>6907.59</v>
      </c>
      <c r="G44" s="23">
        <f t="shared" si="11"/>
        <v>7107.59</v>
      </c>
      <c r="H44" s="23">
        <f t="shared" si="11"/>
        <v>7307.59</v>
      </c>
      <c r="I44" s="23">
        <f t="shared" si="11"/>
        <v>7507.59</v>
      </c>
      <c r="J44" s="206">
        <f>J43-$B$49</f>
        <v>7707.59</v>
      </c>
      <c r="K44" s="23">
        <f t="shared" si="11"/>
        <v>7907.59</v>
      </c>
      <c r="L44" s="23">
        <f t="shared" si="11"/>
        <v>8107.59</v>
      </c>
      <c r="M44" s="23">
        <f t="shared" si="11"/>
        <v>8307.59</v>
      </c>
      <c r="N44" s="23">
        <f t="shared" si="11"/>
        <v>8507.59</v>
      </c>
      <c r="P44" s="456" t="s">
        <v>23</v>
      </c>
      <c r="Q44" s="457"/>
      <c r="R44" s="23">
        <f t="shared" ref="R44:Z44" si="12">R43-$B$49</f>
        <v>6907.59</v>
      </c>
      <c r="S44" s="23">
        <f t="shared" si="12"/>
        <v>7107.59</v>
      </c>
      <c r="T44" s="23">
        <f t="shared" si="12"/>
        <v>7307.59</v>
      </c>
      <c r="U44" s="23">
        <f t="shared" si="12"/>
        <v>7507.59</v>
      </c>
      <c r="V44" s="207">
        <f>V43-$B$49</f>
        <v>7707.59</v>
      </c>
      <c r="W44" s="23">
        <f t="shared" si="12"/>
        <v>7907.59</v>
      </c>
      <c r="X44" s="23">
        <f t="shared" si="12"/>
        <v>8107.59</v>
      </c>
      <c r="Y44" s="23">
        <f t="shared" si="12"/>
        <v>8307.59</v>
      </c>
      <c r="Z44" s="23">
        <f t="shared" si="12"/>
        <v>8507.59</v>
      </c>
    </row>
    <row r="45" spans="1:26" ht="13.5" customHeight="1" thickBot="1" x14ac:dyDescent="0.3">
      <c r="A45" s="105"/>
      <c r="B45" s="109"/>
      <c r="C45" s="98"/>
      <c r="D45" s="461" t="s">
        <v>24</v>
      </c>
      <c r="E45" s="24">
        <f>E46-0.25</f>
        <v>1.25</v>
      </c>
      <c r="F45" s="25">
        <f>F$44-($B$44/$E45)</f>
        <v>-7558.1413722626512</v>
      </c>
      <c r="G45" s="26">
        <f t="shared" ref="F45:N49" si="13">G$44-($B$44/$E45)</f>
        <v>-7358.1413722626512</v>
      </c>
      <c r="H45" s="26">
        <f t="shared" si="13"/>
        <v>-7158.1413722626512</v>
      </c>
      <c r="I45" s="26">
        <f t="shared" si="13"/>
        <v>-6958.1413722626512</v>
      </c>
      <c r="J45" s="26">
        <f t="shared" si="13"/>
        <v>-6758.1413722626512</v>
      </c>
      <c r="K45" s="26">
        <f t="shared" si="13"/>
        <v>-6558.1413722626512</v>
      </c>
      <c r="L45" s="26">
        <f t="shared" si="13"/>
        <v>-6358.1413722626512</v>
      </c>
      <c r="M45" s="27">
        <f t="shared" si="13"/>
        <v>-6158.1413722626512</v>
      </c>
      <c r="N45" s="28">
        <f t="shared" si="13"/>
        <v>-5958.1413722626512</v>
      </c>
      <c r="P45" s="461" t="s">
        <v>24</v>
      </c>
      <c r="Q45" s="24">
        <f>Q46-0.25</f>
        <v>1.25</v>
      </c>
      <c r="R45" s="25">
        <f>R$44-($B$42/$E45)</f>
        <v>-2740.26937226265</v>
      </c>
      <c r="S45" s="25">
        <f t="shared" ref="S45:Z45" si="14">S$44-($B$42/$E45)</f>
        <v>-2540.26937226265</v>
      </c>
      <c r="T45" s="25">
        <f t="shared" si="14"/>
        <v>-2340.26937226265</v>
      </c>
      <c r="U45" s="25">
        <f t="shared" si="14"/>
        <v>-2140.26937226265</v>
      </c>
      <c r="V45" s="25">
        <f t="shared" si="14"/>
        <v>-1940.26937226265</v>
      </c>
      <c r="W45" s="25">
        <f t="shared" si="14"/>
        <v>-1740.26937226265</v>
      </c>
      <c r="X45" s="25">
        <f t="shared" si="14"/>
        <v>-1540.26937226265</v>
      </c>
      <c r="Y45" s="25">
        <f t="shared" si="14"/>
        <v>-1340.26937226265</v>
      </c>
      <c r="Z45" s="25">
        <f t="shared" si="14"/>
        <v>-1140.26937226265</v>
      </c>
    </row>
    <row r="46" spans="1:26" ht="13.5" customHeight="1" thickBot="1" x14ac:dyDescent="0.3">
      <c r="A46" s="105" t="s">
        <v>25</v>
      </c>
      <c r="B46" s="202">
        <v>1.75</v>
      </c>
      <c r="C46" s="99"/>
      <c r="D46" s="462"/>
      <c r="E46" s="24">
        <f>E47-0.25</f>
        <v>1.5</v>
      </c>
      <c r="F46" s="29">
        <f t="shared" si="13"/>
        <v>-5147.1861435522096</v>
      </c>
      <c r="G46" s="30">
        <f t="shared" si="13"/>
        <v>-4947.1861435522096</v>
      </c>
      <c r="H46" s="30">
        <f t="shared" si="13"/>
        <v>-4747.1861435522096</v>
      </c>
      <c r="I46" s="30">
        <f t="shared" si="13"/>
        <v>-4547.1861435522096</v>
      </c>
      <c r="J46" s="30">
        <f t="shared" si="13"/>
        <v>-4347.1861435522096</v>
      </c>
      <c r="K46" s="31">
        <f t="shared" si="13"/>
        <v>-4147.1861435522096</v>
      </c>
      <c r="L46" s="31">
        <f t="shared" si="13"/>
        <v>-3947.1861435522096</v>
      </c>
      <c r="M46" s="31">
        <f t="shared" si="13"/>
        <v>-3747.1861435522096</v>
      </c>
      <c r="N46" s="32">
        <f t="shared" si="13"/>
        <v>-3547.1861435522096</v>
      </c>
      <c r="P46" s="462"/>
      <c r="Q46" s="24">
        <f>Q47-0.25</f>
        <v>1.5</v>
      </c>
      <c r="R46" s="25">
        <f t="shared" ref="R46:Z49" si="15">R$44-($B$42/$E46)</f>
        <v>-1132.2928102188753</v>
      </c>
      <c r="S46" s="25">
        <f t="shared" si="15"/>
        <v>-932.29281021887527</v>
      </c>
      <c r="T46" s="25">
        <f>T$44-($B$42/$E46)</f>
        <v>-732.29281021887527</v>
      </c>
      <c r="U46" s="25">
        <f t="shared" si="15"/>
        <v>-532.29281021887527</v>
      </c>
      <c r="V46" s="25">
        <f t="shared" si="15"/>
        <v>-332.29281021887527</v>
      </c>
      <c r="W46" s="25">
        <f t="shared" si="15"/>
        <v>-132.29281021887527</v>
      </c>
      <c r="X46" s="25">
        <f t="shared" si="15"/>
        <v>67.707189781124725</v>
      </c>
      <c r="Y46" s="25">
        <f t="shared" si="15"/>
        <v>267.70718978112473</v>
      </c>
      <c r="Z46" s="25">
        <f t="shared" si="15"/>
        <v>467.70718978112473</v>
      </c>
    </row>
    <row r="47" spans="1:26" ht="13.5" customHeight="1" thickBot="1" x14ac:dyDescent="0.3">
      <c r="A47" s="105"/>
      <c r="B47" s="109"/>
      <c r="C47" s="98"/>
      <c r="D47" s="462"/>
      <c r="E47" s="208">
        <f>B46</f>
        <v>1.75</v>
      </c>
      <c r="F47" s="29">
        <f>F$44-($B$44/$E47)</f>
        <v>-3425.0752659018926</v>
      </c>
      <c r="G47" s="30">
        <f>G$44-($B$44/$E47)</f>
        <v>-3225.0752659018926</v>
      </c>
      <c r="H47" s="30">
        <f>H$44-($B$44/$E47)</f>
        <v>-3025.0752659018926</v>
      </c>
      <c r="I47" s="30">
        <f>I$44-($B$44/$E47)</f>
        <v>-2825.0752659018926</v>
      </c>
      <c r="J47" s="31">
        <f>J$44-($B$44/$E47)</f>
        <v>-2625.0752659018926</v>
      </c>
      <c r="K47" s="31">
        <f t="shared" si="13"/>
        <v>-2425.0752659018926</v>
      </c>
      <c r="L47" s="31">
        <f t="shared" si="13"/>
        <v>-2225.0752659018926</v>
      </c>
      <c r="M47" s="31">
        <f t="shared" si="13"/>
        <v>-2025.0752659018926</v>
      </c>
      <c r="N47" s="32">
        <f t="shared" si="13"/>
        <v>-1825.0752659018926</v>
      </c>
      <c r="P47" s="462"/>
      <c r="Q47" s="203">
        <f>E47</f>
        <v>1.75</v>
      </c>
      <c r="R47" s="25">
        <f>R$44-($B$42/$E47)</f>
        <v>16.261876955249136</v>
      </c>
      <c r="S47" s="25">
        <f t="shared" si="15"/>
        <v>216.26187695524914</v>
      </c>
      <c r="T47" s="25">
        <f>T$44-($B$42/$E47)</f>
        <v>416.26187695524914</v>
      </c>
      <c r="U47" s="25">
        <f t="shared" si="15"/>
        <v>616.26187695524914</v>
      </c>
      <c r="V47" s="25">
        <f t="shared" si="15"/>
        <v>816.26187695524914</v>
      </c>
      <c r="W47" s="25">
        <f t="shared" si="15"/>
        <v>1016.2618769552491</v>
      </c>
      <c r="X47" s="25">
        <f t="shared" si="15"/>
        <v>1216.2618769552491</v>
      </c>
      <c r="Y47" s="25">
        <f t="shared" si="15"/>
        <v>1416.2618769552491</v>
      </c>
      <c r="Z47" s="25">
        <f t="shared" si="15"/>
        <v>1616.2618769552491</v>
      </c>
    </row>
    <row r="48" spans="1:26" ht="13.5" customHeight="1" thickBot="1" x14ac:dyDescent="0.3">
      <c r="A48" s="105" t="s">
        <v>37</v>
      </c>
      <c r="B48" s="110">
        <f>B6</f>
        <v>7900</v>
      </c>
      <c r="C48" s="98"/>
      <c r="D48" s="462"/>
      <c r="E48" s="24">
        <f>E47+0.25</f>
        <v>2</v>
      </c>
      <c r="F48" s="29">
        <f t="shared" si="13"/>
        <v>-2133.4921076641567</v>
      </c>
      <c r="G48" s="30">
        <f t="shared" si="13"/>
        <v>-1933.4921076641567</v>
      </c>
      <c r="H48" s="30">
        <f t="shared" si="13"/>
        <v>-1733.4921076641567</v>
      </c>
      <c r="I48" s="31">
        <f t="shared" si="13"/>
        <v>-1533.4921076641567</v>
      </c>
      <c r="J48" s="31">
        <f t="shared" si="13"/>
        <v>-1333.4921076641567</v>
      </c>
      <c r="K48" s="31">
        <f t="shared" si="13"/>
        <v>-1133.4921076641567</v>
      </c>
      <c r="L48" s="31">
        <f t="shared" si="13"/>
        <v>-933.49210766415672</v>
      </c>
      <c r="M48" s="31">
        <f t="shared" si="13"/>
        <v>-733.49210766415672</v>
      </c>
      <c r="N48" s="32">
        <f t="shared" si="13"/>
        <v>-533.49210766415672</v>
      </c>
      <c r="P48" s="462"/>
      <c r="Q48" s="24">
        <f>Q47+0.25</f>
        <v>2</v>
      </c>
      <c r="R48" s="25">
        <f t="shared" si="15"/>
        <v>877.67789233584335</v>
      </c>
      <c r="S48" s="25">
        <f t="shared" si="15"/>
        <v>1077.6778923358434</v>
      </c>
      <c r="T48" s="25">
        <f t="shared" si="15"/>
        <v>1277.6778923358434</v>
      </c>
      <c r="U48" s="25">
        <f t="shared" si="15"/>
        <v>1477.6778923358434</v>
      </c>
      <c r="V48" s="25">
        <f t="shared" si="15"/>
        <v>1677.6778923358434</v>
      </c>
      <c r="W48" s="25">
        <f t="shared" si="15"/>
        <v>1877.6778923358434</v>
      </c>
      <c r="X48" s="25">
        <f t="shared" si="15"/>
        <v>2077.6778923358434</v>
      </c>
      <c r="Y48" s="25">
        <f t="shared" si="15"/>
        <v>2277.6778923358434</v>
      </c>
      <c r="Z48" s="25">
        <f t="shared" si="15"/>
        <v>2477.6778923358434</v>
      </c>
    </row>
    <row r="49" spans="1:26" ht="13.5" customHeight="1" thickBot="1" x14ac:dyDescent="0.3">
      <c r="A49" s="107" t="s">
        <v>27</v>
      </c>
      <c r="B49" s="110">
        <f>D6</f>
        <v>192.41</v>
      </c>
      <c r="C49" s="100"/>
      <c r="D49" s="463"/>
      <c r="E49" s="24">
        <f>E48+0.25</f>
        <v>2.25</v>
      </c>
      <c r="F49" s="33">
        <f t="shared" si="13"/>
        <v>-1128.9274290348058</v>
      </c>
      <c r="G49" s="34">
        <f t="shared" si="13"/>
        <v>-928.92742903480575</v>
      </c>
      <c r="H49" s="35">
        <f t="shared" si="13"/>
        <v>-728.92742903480575</v>
      </c>
      <c r="I49" s="35">
        <f t="shared" si="13"/>
        <v>-528.92742903480575</v>
      </c>
      <c r="J49" s="35">
        <f t="shared" si="13"/>
        <v>-328.92742903480575</v>
      </c>
      <c r="K49" s="35">
        <f t="shared" si="13"/>
        <v>-128.92742903480575</v>
      </c>
      <c r="L49" s="35">
        <f t="shared" si="13"/>
        <v>71.072570965194245</v>
      </c>
      <c r="M49" s="35">
        <f t="shared" si="13"/>
        <v>271.07257096519425</v>
      </c>
      <c r="N49" s="36">
        <f>N$44-($B$44/$E49)</f>
        <v>471.07257096519425</v>
      </c>
      <c r="P49" s="463"/>
      <c r="Q49" s="24">
        <f>Q48+0.25</f>
        <v>2.25</v>
      </c>
      <c r="R49" s="25">
        <f t="shared" si="15"/>
        <v>1547.6681265207499</v>
      </c>
      <c r="S49" s="25">
        <f t="shared" si="15"/>
        <v>1747.6681265207499</v>
      </c>
      <c r="T49" s="25">
        <f t="shared" si="15"/>
        <v>1947.6681265207499</v>
      </c>
      <c r="U49" s="25">
        <f t="shared" si="15"/>
        <v>2147.6681265207499</v>
      </c>
      <c r="V49" s="25">
        <f t="shared" si="15"/>
        <v>2347.6681265207499</v>
      </c>
      <c r="W49" s="25">
        <f t="shared" si="15"/>
        <v>2547.6681265207499</v>
      </c>
      <c r="X49" s="25">
        <f t="shared" si="15"/>
        <v>2747.6681265207499</v>
      </c>
      <c r="Y49" s="25">
        <f t="shared" si="15"/>
        <v>2947.6681265207499</v>
      </c>
      <c r="Z49" s="25">
        <f t="shared" si="15"/>
        <v>3147.6681265207499</v>
      </c>
    </row>
    <row r="50" spans="1:26" ht="13.5" customHeight="1" x14ac:dyDescent="0.25">
      <c r="A50" s="108" t="s">
        <v>28</v>
      </c>
      <c r="B50" s="112">
        <f>B48-B49</f>
        <v>7707.59</v>
      </c>
      <c r="C50" s="100"/>
    </row>
    <row r="51" spans="1:26" ht="13.5" customHeight="1" x14ac:dyDescent="0.25"/>
    <row r="52" spans="1:26" ht="13.5" customHeight="1" x14ac:dyDescent="0.25"/>
    <row r="53" spans="1:26" ht="13.5" customHeight="1" thickBot="1" x14ac:dyDescent="0.3">
      <c r="A53" s="465"/>
      <c r="B53" s="465"/>
    </row>
    <row r="54" spans="1:26" ht="19.5" customHeight="1" thickBot="1" x14ac:dyDescent="0.3">
      <c r="A54" s="467" t="s">
        <v>38</v>
      </c>
      <c r="B54" s="467"/>
      <c r="C54" s="93"/>
      <c r="D54" s="458" t="s">
        <v>39</v>
      </c>
      <c r="E54" s="459"/>
      <c r="F54" s="459"/>
      <c r="G54" s="459"/>
      <c r="H54" s="459"/>
      <c r="I54" s="459"/>
      <c r="J54" s="459"/>
      <c r="K54" s="459"/>
      <c r="L54" s="459"/>
      <c r="M54" s="459"/>
      <c r="N54" s="460"/>
      <c r="P54" s="458" t="s">
        <v>40</v>
      </c>
      <c r="Q54" s="459"/>
      <c r="R54" s="459"/>
      <c r="S54" s="459"/>
      <c r="T54" s="459"/>
      <c r="U54" s="459"/>
      <c r="V54" s="459"/>
      <c r="W54" s="459"/>
      <c r="X54" s="459"/>
      <c r="Y54" s="459"/>
      <c r="Z54" s="460"/>
    </row>
    <row r="55" spans="1:26" ht="13.5" customHeight="1" thickBot="1" x14ac:dyDescent="0.3">
      <c r="A55" s="105" t="s">
        <v>18</v>
      </c>
      <c r="B55" s="110">
        <f>Graansorghum!F26</f>
        <v>12200.248744677499</v>
      </c>
      <c r="C55" s="96"/>
      <c r="D55" s="19"/>
      <c r="E55" s="20"/>
      <c r="F55" s="197"/>
      <c r="G55" s="21"/>
      <c r="H55" s="197"/>
      <c r="I55" s="197"/>
      <c r="J55" s="197" t="s">
        <v>36</v>
      </c>
      <c r="K55" s="198"/>
      <c r="L55" s="197"/>
      <c r="M55" s="198"/>
      <c r="N55" s="197"/>
      <c r="P55" s="19"/>
      <c r="Q55" s="20"/>
      <c r="R55" s="197"/>
      <c r="S55" s="21"/>
      <c r="T55" s="197"/>
      <c r="U55" s="197"/>
      <c r="V55" s="197" t="s">
        <v>36</v>
      </c>
      <c r="W55" s="198"/>
      <c r="X55" s="197"/>
      <c r="Y55" s="198"/>
      <c r="Z55" s="197"/>
    </row>
    <row r="56" spans="1:26" ht="13.5" customHeight="1" thickBot="1" x14ac:dyDescent="0.3">
      <c r="A56" s="105" t="s">
        <v>20</v>
      </c>
      <c r="B56" s="110">
        <f>Graansorghum!F28</f>
        <v>6774.08</v>
      </c>
      <c r="C56" s="96"/>
      <c r="D56" s="458" t="s">
        <v>21</v>
      </c>
      <c r="E56" s="460"/>
      <c r="F56" s="22">
        <f>G56-200</f>
        <v>2700</v>
      </c>
      <c r="G56" s="22">
        <f>H56-200</f>
        <v>2900</v>
      </c>
      <c r="H56" s="22">
        <f>I56-200</f>
        <v>3100</v>
      </c>
      <c r="I56" s="22">
        <f>J56-200</f>
        <v>3300</v>
      </c>
      <c r="J56" s="199">
        <f>B61</f>
        <v>3500</v>
      </c>
      <c r="K56" s="22">
        <f>J56+200</f>
        <v>3700</v>
      </c>
      <c r="L56" s="22">
        <f>K56+200</f>
        <v>3900</v>
      </c>
      <c r="M56" s="22">
        <f>L56+200</f>
        <v>4100</v>
      </c>
      <c r="N56" s="22">
        <f>M56+200</f>
        <v>4300</v>
      </c>
      <c r="P56" s="458" t="s">
        <v>21</v>
      </c>
      <c r="Q56" s="460"/>
      <c r="R56" s="22">
        <f>S56-200</f>
        <v>2700</v>
      </c>
      <c r="S56" s="22">
        <f>T56-200</f>
        <v>2900</v>
      </c>
      <c r="T56" s="22">
        <f>U56-200</f>
        <v>3100</v>
      </c>
      <c r="U56" s="22">
        <f>V56-200</f>
        <v>3300</v>
      </c>
      <c r="V56" s="197">
        <f>J56</f>
        <v>3500</v>
      </c>
      <c r="W56" s="22">
        <f>V56+200</f>
        <v>3700</v>
      </c>
      <c r="X56" s="22">
        <f>W56+200</f>
        <v>3900</v>
      </c>
      <c r="Y56" s="22">
        <f>X56+200</f>
        <v>4100</v>
      </c>
      <c r="Z56" s="22">
        <f>Y56+200</f>
        <v>4300</v>
      </c>
    </row>
    <row r="57" spans="1:26" ht="13.5" customHeight="1" thickBot="1" x14ac:dyDescent="0.3">
      <c r="A57" s="106" t="s">
        <v>22</v>
      </c>
      <c r="B57" s="112">
        <f>B56+B55</f>
        <v>18974.328744677499</v>
      </c>
      <c r="C57" s="97"/>
      <c r="D57" s="456" t="s">
        <v>23</v>
      </c>
      <c r="E57" s="457"/>
      <c r="F57" s="43">
        <f t="shared" ref="F57:N57" si="16">F56-$B$49</f>
        <v>2507.59</v>
      </c>
      <c r="G57" s="23">
        <f t="shared" si="16"/>
        <v>2707.59</v>
      </c>
      <c r="H57" s="23">
        <f t="shared" si="16"/>
        <v>2907.59</v>
      </c>
      <c r="I57" s="23">
        <f t="shared" si="16"/>
        <v>3107.59</v>
      </c>
      <c r="J57" s="200">
        <f>J56-$B$62</f>
        <v>3391.48</v>
      </c>
      <c r="K57" s="23">
        <f t="shared" si="16"/>
        <v>3507.59</v>
      </c>
      <c r="L57" s="23">
        <f t="shared" si="16"/>
        <v>3707.59</v>
      </c>
      <c r="M57" s="23">
        <f t="shared" si="16"/>
        <v>3907.59</v>
      </c>
      <c r="N57" s="23">
        <f t="shared" si="16"/>
        <v>4107.59</v>
      </c>
      <c r="P57" s="456" t="s">
        <v>23</v>
      </c>
      <c r="Q57" s="457"/>
      <c r="R57" s="23">
        <f t="shared" ref="R57:Z57" si="17">R56-$B$49</f>
        <v>2507.59</v>
      </c>
      <c r="S57" s="23">
        <f t="shared" si="17"/>
        <v>2707.59</v>
      </c>
      <c r="T57" s="23">
        <f t="shared" si="17"/>
        <v>2907.59</v>
      </c>
      <c r="U57" s="23">
        <f t="shared" si="17"/>
        <v>3107.59</v>
      </c>
      <c r="V57" s="200">
        <f>V56-$B$62</f>
        <v>3391.48</v>
      </c>
      <c r="W57" s="23">
        <f t="shared" si="17"/>
        <v>3507.59</v>
      </c>
      <c r="X57" s="23">
        <f t="shared" si="17"/>
        <v>3707.59</v>
      </c>
      <c r="Y57" s="23">
        <f t="shared" si="17"/>
        <v>3907.59</v>
      </c>
      <c r="Z57" s="23">
        <f t="shared" si="17"/>
        <v>4107.59</v>
      </c>
    </row>
    <row r="58" spans="1:26" ht="13.5" customHeight="1" thickBot="1" x14ac:dyDescent="0.3">
      <c r="A58" s="105"/>
      <c r="B58" s="109"/>
      <c r="C58" s="98"/>
      <c r="D58" s="461" t="s">
        <v>24</v>
      </c>
      <c r="E58" s="24">
        <f>E59-0.25</f>
        <v>2.5</v>
      </c>
      <c r="F58" s="66">
        <f>F$57-($B$57/$E58)</f>
        <v>-5082.141497871</v>
      </c>
      <c r="G58" s="66">
        <f t="shared" ref="G58:N62" si="18">G$57-($B$57/$E58)</f>
        <v>-4882.141497871</v>
      </c>
      <c r="H58" s="66">
        <f t="shared" si="18"/>
        <v>-4682.141497871</v>
      </c>
      <c r="I58" s="66">
        <f t="shared" si="18"/>
        <v>-4482.141497871</v>
      </c>
      <c r="J58" s="66">
        <f t="shared" si="18"/>
        <v>-4198.2514978710005</v>
      </c>
      <c r="K58" s="66">
        <f t="shared" si="18"/>
        <v>-4082.141497871</v>
      </c>
      <c r="L58" s="66">
        <f t="shared" si="18"/>
        <v>-3882.141497871</v>
      </c>
      <c r="M58" s="66">
        <f t="shared" si="18"/>
        <v>-3682.141497871</v>
      </c>
      <c r="N58" s="66">
        <f t="shared" si="18"/>
        <v>-3482.141497871</v>
      </c>
      <c r="P58" s="461" t="s">
        <v>24</v>
      </c>
      <c r="Q58" s="24">
        <f>Q59-0.25</f>
        <v>2.5</v>
      </c>
      <c r="R58" s="25">
        <f t="shared" ref="R58:Z60" si="19">R$57-($B$55/$E58)</f>
        <v>-2372.5094978709994</v>
      </c>
      <c r="S58" s="25">
        <f t="shared" si="19"/>
        <v>-2172.5094978709994</v>
      </c>
      <c r="T58" s="25">
        <f t="shared" si="19"/>
        <v>-1972.5094978709994</v>
      </c>
      <c r="U58" s="25">
        <f t="shared" si="19"/>
        <v>-1772.5094978709994</v>
      </c>
      <c r="V58" s="25">
        <f>V$57-($B$55/$E58)</f>
        <v>-1488.6194978709996</v>
      </c>
      <c r="W58" s="25">
        <f t="shared" si="19"/>
        <v>-1372.5094978709994</v>
      </c>
      <c r="X58" s="25">
        <f t="shared" si="19"/>
        <v>-1172.5094978709994</v>
      </c>
      <c r="Y58" s="25">
        <f t="shared" si="19"/>
        <v>-972.50949787099944</v>
      </c>
      <c r="Z58" s="25">
        <f t="shared" si="19"/>
        <v>-772.50949787099944</v>
      </c>
    </row>
    <row r="59" spans="1:26" ht="13.5" customHeight="1" thickBot="1" x14ac:dyDescent="0.3">
      <c r="A59" s="105" t="s">
        <v>25</v>
      </c>
      <c r="B59" s="202">
        <v>3</v>
      </c>
      <c r="C59" s="99"/>
      <c r="D59" s="462"/>
      <c r="E59" s="24">
        <f>E60-0.25</f>
        <v>2.75</v>
      </c>
      <c r="F59" s="66">
        <f>F$57-($B$57/$E59)</f>
        <v>-4392.1659071554541</v>
      </c>
      <c r="G59" s="66">
        <f t="shared" si="18"/>
        <v>-4192.1659071554541</v>
      </c>
      <c r="H59" s="66">
        <f t="shared" si="18"/>
        <v>-3992.1659071554541</v>
      </c>
      <c r="I59" s="66">
        <f t="shared" si="18"/>
        <v>-3792.1659071554541</v>
      </c>
      <c r="J59" s="66">
        <f t="shared" si="18"/>
        <v>-3508.2759071554542</v>
      </c>
      <c r="K59" s="66">
        <f t="shared" si="18"/>
        <v>-3392.1659071554541</v>
      </c>
      <c r="L59" s="66">
        <f t="shared" si="18"/>
        <v>-3192.1659071554541</v>
      </c>
      <c r="M59" s="66">
        <f t="shared" si="18"/>
        <v>-2992.1659071554541</v>
      </c>
      <c r="N59" s="66">
        <f t="shared" si="18"/>
        <v>-2792.1659071554541</v>
      </c>
      <c r="P59" s="462"/>
      <c r="Q59" s="24">
        <f>Q60-0.25</f>
        <v>2.75</v>
      </c>
      <c r="R59" s="25">
        <f t="shared" si="19"/>
        <v>-1928.8640889736362</v>
      </c>
      <c r="S59" s="25">
        <f t="shared" si="19"/>
        <v>-1728.8640889736362</v>
      </c>
      <c r="T59" s="25">
        <f t="shared" si="19"/>
        <v>-1528.8640889736362</v>
      </c>
      <c r="U59" s="25">
        <f t="shared" si="19"/>
        <v>-1328.8640889736362</v>
      </c>
      <c r="V59" s="25">
        <f t="shared" si="19"/>
        <v>-1044.9740889736363</v>
      </c>
      <c r="W59" s="25">
        <f t="shared" si="19"/>
        <v>-928.86408897363617</v>
      </c>
      <c r="X59" s="25">
        <f t="shared" si="19"/>
        <v>-728.86408897363617</v>
      </c>
      <c r="Y59" s="25">
        <f t="shared" si="19"/>
        <v>-528.86408897363617</v>
      </c>
      <c r="Z59" s="25">
        <f t="shared" si="19"/>
        <v>-328.86408897363617</v>
      </c>
    </row>
    <row r="60" spans="1:26" ht="13.5" customHeight="1" thickBot="1" x14ac:dyDescent="0.3">
      <c r="A60" s="105"/>
      <c r="B60" s="109"/>
      <c r="C60" s="98"/>
      <c r="D60" s="462"/>
      <c r="E60" s="203">
        <f>B59</f>
        <v>3</v>
      </c>
      <c r="F60" s="66">
        <f>F$57-($B$57/$E60)</f>
        <v>-3817.186248225833</v>
      </c>
      <c r="G60" s="66">
        <f>G$57-($B$57/$E60)</f>
        <v>-3617.186248225833</v>
      </c>
      <c r="H60" s="66">
        <f>H$57-($B$57/$E60)</f>
        <v>-3417.186248225833</v>
      </c>
      <c r="I60" s="66">
        <f>I$57-($B$57/$E60)</f>
        <v>-3217.186248225833</v>
      </c>
      <c r="J60" s="66">
        <f>J$57-($B$57/$E60)</f>
        <v>-2933.2962482258331</v>
      </c>
      <c r="K60" s="66">
        <f t="shared" si="18"/>
        <v>-2817.186248225833</v>
      </c>
      <c r="L60" s="66">
        <f t="shared" si="18"/>
        <v>-2617.186248225833</v>
      </c>
      <c r="M60" s="66">
        <f t="shared" si="18"/>
        <v>-2417.186248225833</v>
      </c>
      <c r="N60" s="66">
        <f t="shared" si="18"/>
        <v>-2217.186248225833</v>
      </c>
      <c r="P60" s="462"/>
      <c r="Q60" s="203">
        <f>E60</f>
        <v>3</v>
      </c>
      <c r="R60" s="25">
        <f>R$57-($B$55/$E60)</f>
        <v>-1559.1595815591663</v>
      </c>
      <c r="S60" s="25">
        <f t="shared" si="19"/>
        <v>-1359.1595815591663</v>
      </c>
      <c r="T60" s="25">
        <f t="shared" si="19"/>
        <v>-1159.1595815591663</v>
      </c>
      <c r="U60" s="25">
        <f>U$57-($B$55/$E60)</f>
        <v>-959.15958155916633</v>
      </c>
      <c r="V60" s="25">
        <f t="shared" si="19"/>
        <v>-675.26958155916645</v>
      </c>
      <c r="W60" s="25">
        <f t="shared" si="19"/>
        <v>-559.15958155916633</v>
      </c>
      <c r="X60" s="25">
        <f t="shared" si="19"/>
        <v>-359.15958155916633</v>
      </c>
      <c r="Y60" s="25">
        <f t="shared" si="19"/>
        <v>-159.15958155916633</v>
      </c>
      <c r="Z60" s="25">
        <f t="shared" si="19"/>
        <v>40.840418440833673</v>
      </c>
    </row>
    <row r="61" spans="1:26" ht="13.5" customHeight="1" thickBot="1" x14ac:dyDescent="0.3">
      <c r="A61" s="105" t="s">
        <v>41</v>
      </c>
      <c r="B61" s="110">
        <f>B7</f>
        <v>3500</v>
      </c>
      <c r="C61" s="98"/>
      <c r="D61" s="462"/>
      <c r="E61" s="24">
        <f>E60+0.25</f>
        <v>3.25</v>
      </c>
      <c r="F61" s="66">
        <f>F$57-($B$57/$E61)</f>
        <v>-3330.6649983623074</v>
      </c>
      <c r="G61" s="66">
        <f t="shared" si="18"/>
        <v>-3130.6649983623074</v>
      </c>
      <c r="H61" s="66">
        <f t="shared" si="18"/>
        <v>-2930.6649983623074</v>
      </c>
      <c r="I61" s="66">
        <f t="shared" si="18"/>
        <v>-2730.6649983623074</v>
      </c>
      <c r="J61" s="66">
        <f t="shared" si="18"/>
        <v>-2446.7749983623075</v>
      </c>
      <c r="K61" s="66">
        <f t="shared" si="18"/>
        <v>-2330.6649983623074</v>
      </c>
      <c r="L61" s="66">
        <f t="shared" si="18"/>
        <v>-2130.6649983623074</v>
      </c>
      <c r="M61" s="66">
        <f t="shared" si="18"/>
        <v>-1930.6649983623074</v>
      </c>
      <c r="N61" s="66">
        <f t="shared" si="18"/>
        <v>-1730.6649983623074</v>
      </c>
      <c r="P61" s="462"/>
      <c r="Q61" s="24">
        <f>Q60+0.25</f>
        <v>3.25</v>
      </c>
      <c r="R61" s="25">
        <f t="shared" ref="R61:Z62" si="20">R$57-($B$55/$E61)</f>
        <v>-1246.3326906699995</v>
      </c>
      <c r="S61" s="25">
        <f t="shared" si="20"/>
        <v>-1046.3326906699995</v>
      </c>
      <c r="T61" s="25">
        <f t="shared" si="20"/>
        <v>-846.33269066999947</v>
      </c>
      <c r="U61" s="25">
        <f t="shared" si="20"/>
        <v>-646.33269066999947</v>
      </c>
      <c r="V61" s="25">
        <f t="shared" si="20"/>
        <v>-362.44269066999959</v>
      </c>
      <c r="W61" s="25">
        <f t="shared" si="20"/>
        <v>-246.33269066999947</v>
      </c>
      <c r="X61" s="25">
        <f t="shared" si="20"/>
        <v>-46.332690669999465</v>
      </c>
      <c r="Y61" s="25">
        <f t="shared" si="20"/>
        <v>153.66730933000053</v>
      </c>
      <c r="Z61" s="25">
        <f t="shared" si="20"/>
        <v>353.66730933000053</v>
      </c>
    </row>
    <row r="62" spans="1:26" ht="13.5" customHeight="1" thickBot="1" x14ac:dyDescent="0.3">
      <c r="A62" s="107" t="s">
        <v>27</v>
      </c>
      <c r="B62" s="110">
        <f>D7</f>
        <v>108.52</v>
      </c>
      <c r="C62" s="100"/>
      <c r="D62" s="463"/>
      <c r="E62" s="24">
        <f>E61+0.25</f>
        <v>3.5</v>
      </c>
      <c r="F62" s="66">
        <f>F$57-($B$57/$E62)</f>
        <v>-2913.646784193571</v>
      </c>
      <c r="G62" s="66">
        <f t="shared" si="18"/>
        <v>-2713.646784193571</v>
      </c>
      <c r="H62" s="66">
        <f t="shared" si="18"/>
        <v>-2513.646784193571</v>
      </c>
      <c r="I62" s="66">
        <f t="shared" si="18"/>
        <v>-2313.646784193571</v>
      </c>
      <c r="J62" s="66">
        <f t="shared" si="18"/>
        <v>-2029.7567841935711</v>
      </c>
      <c r="K62" s="66">
        <f t="shared" si="18"/>
        <v>-1913.646784193571</v>
      </c>
      <c r="L62" s="66">
        <f t="shared" si="18"/>
        <v>-1713.646784193571</v>
      </c>
      <c r="M62" s="66">
        <f t="shared" si="18"/>
        <v>-1513.646784193571</v>
      </c>
      <c r="N62" s="66">
        <f>N$57-($B$57/$E62)</f>
        <v>-1313.646784193571</v>
      </c>
      <c r="P62" s="463"/>
      <c r="Q62" s="24">
        <f>Q61+0.25</f>
        <v>3.5</v>
      </c>
      <c r="R62" s="25">
        <f t="shared" si="20"/>
        <v>-978.19535562214242</v>
      </c>
      <c r="S62" s="25">
        <f t="shared" si="20"/>
        <v>-778.19535562214242</v>
      </c>
      <c r="T62" s="25">
        <f t="shared" si="20"/>
        <v>-578.19535562214242</v>
      </c>
      <c r="U62" s="25">
        <f t="shared" si="20"/>
        <v>-378.19535562214242</v>
      </c>
      <c r="V62" s="25">
        <f t="shared" si="20"/>
        <v>-94.305355622142542</v>
      </c>
      <c r="W62" s="25">
        <f t="shared" si="20"/>
        <v>21.804644377857585</v>
      </c>
      <c r="X62" s="25">
        <f t="shared" si="20"/>
        <v>221.80464437785758</v>
      </c>
      <c r="Y62" s="25">
        <f t="shared" si="20"/>
        <v>421.80464437785758</v>
      </c>
      <c r="Z62" s="25">
        <f t="shared" si="20"/>
        <v>621.80464437785758</v>
      </c>
    </row>
    <row r="63" spans="1:26" ht="13.5" customHeight="1" x14ac:dyDescent="0.25">
      <c r="A63" s="108" t="s">
        <v>28</v>
      </c>
      <c r="B63" s="112">
        <f>B61-B62</f>
        <v>3391.48</v>
      </c>
      <c r="C63" s="100"/>
    </row>
  </sheetData>
  <sheetProtection selectLockedCells="1"/>
  <mergeCells count="40">
    <mergeCell ref="P58:P62"/>
    <mergeCell ref="A53:B53"/>
    <mergeCell ref="D54:N54"/>
    <mergeCell ref="P54:Z54"/>
    <mergeCell ref="D56:E56"/>
    <mergeCell ref="P56:Q56"/>
    <mergeCell ref="D57:E57"/>
    <mergeCell ref="P57:Q57"/>
    <mergeCell ref="A54:B54"/>
    <mergeCell ref="D58:D62"/>
    <mergeCell ref="A14:B14"/>
    <mergeCell ref="A27:B27"/>
    <mergeCell ref="A40:B40"/>
    <mergeCell ref="D43:E43"/>
    <mergeCell ref="P43:Q43"/>
    <mergeCell ref="D19:D23"/>
    <mergeCell ref="P19:P23"/>
    <mergeCell ref="D15:N15"/>
    <mergeCell ref="P15:Z15"/>
    <mergeCell ref="D17:E17"/>
    <mergeCell ref="P17:Q17"/>
    <mergeCell ref="D18:E18"/>
    <mergeCell ref="P18:Q18"/>
    <mergeCell ref="A15:B15"/>
    <mergeCell ref="A28:B28"/>
    <mergeCell ref="A41:B41"/>
    <mergeCell ref="P44:Q44"/>
    <mergeCell ref="D28:N28"/>
    <mergeCell ref="P28:Z28"/>
    <mergeCell ref="D30:E30"/>
    <mergeCell ref="D45:D49"/>
    <mergeCell ref="P45:P49"/>
    <mergeCell ref="D31:E31"/>
    <mergeCell ref="P31:Q31"/>
    <mergeCell ref="D32:D36"/>
    <mergeCell ref="P32:P36"/>
    <mergeCell ref="D41:N41"/>
    <mergeCell ref="P41:Z41"/>
    <mergeCell ref="P30:Q30"/>
    <mergeCell ref="D44:E44"/>
  </mergeCells>
  <conditionalFormatting sqref="F19:N23">
    <cfRule type="cellIs" dxfId="31" priority="53" stopIfTrue="1" operator="lessThan">
      <formula>1</formula>
    </cfRule>
    <cfRule type="cellIs" dxfId="30" priority="54" stopIfTrue="1" operator="greaterThan">
      <formula>1</formula>
    </cfRule>
    <cfRule type="cellIs" dxfId="29" priority="55" stopIfTrue="1" operator="lessThan">
      <formula>1</formula>
    </cfRule>
    <cfRule type="cellIs" dxfId="28" priority="56" stopIfTrue="1" operator="greaterThan">
      <formula>1</formula>
    </cfRule>
  </conditionalFormatting>
  <conditionalFormatting sqref="F32:N36">
    <cfRule type="cellIs" dxfId="27" priority="37" stopIfTrue="1" operator="lessThan">
      <formula>1</formula>
    </cfRule>
    <cfRule type="cellIs" dxfId="26" priority="38" stopIfTrue="1" operator="greaterThan">
      <formula>1</formula>
    </cfRule>
    <cfRule type="cellIs" dxfId="25" priority="39" stopIfTrue="1" operator="lessThan">
      <formula>1</formula>
    </cfRule>
    <cfRule type="cellIs" dxfId="24" priority="40" stopIfTrue="1" operator="greaterThan">
      <formula>1</formula>
    </cfRule>
  </conditionalFormatting>
  <conditionalFormatting sqref="F45:N49">
    <cfRule type="cellIs" dxfId="23" priority="49" stopIfTrue="1" operator="lessThan">
      <formula>1</formula>
    </cfRule>
    <cfRule type="cellIs" dxfId="22" priority="50" stopIfTrue="1" operator="greaterThan">
      <formula>1</formula>
    </cfRule>
    <cfRule type="cellIs" dxfId="21" priority="51" stopIfTrue="1" operator="lessThan">
      <formula>1</formula>
    </cfRule>
    <cfRule type="cellIs" dxfId="20" priority="52" stopIfTrue="1" operator="greaterThan">
      <formula>1</formula>
    </cfRule>
  </conditionalFormatting>
  <conditionalFormatting sqref="F58:N62">
    <cfRule type="cellIs" dxfId="19" priority="5" stopIfTrue="1" operator="lessThan">
      <formula>1</formula>
    </cfRule>
    <cfRule type="cellIs" dxfId="18" priority="6" stopIfTrue="1" operator="greaterThan">
      <formula>1</formula>
    </cfRule>
    <cfRule type="cellIs" dxfId="17" priority="7" stopIfTrue="1" operator="lessThan">
      <formula>1</formula>
    </cfRule>
    <cfRule type="cellIs" dxfId="16" priority="8" stopIfTrue="1" operator="greaterThan">
      <formula>1</formula>
    </cfRule>
  </conditionalFormatting>
  <conditionalFormatting sqref="R19:Z23">
    <cfRule type="cellIs" dxfId="15" priority="45" stopIfTrue="1" operator="lessThan">
      <formula>1</formula>
    </cfRule>
    <cfRule type="cellIs" dxfId="14" priority="46" stopIfTrue="1" operator="greaterThan">
      <formula>1</formula>
    </cfRule>
    <cfRule type="cellIs" dxfId="13" priority="47" stopIfTrue="1" operator="lessThan">
      <formula>1</formula>
    </cfRule>
    <cfRule type="cellIs" dxfId="12" priority="48" stopIfTrue="1" operator="greaterThan">
      <formula>1</formula>
    </cfRule>
  </conditionalFormatting>
  <conditionalFormatting sqref="R32:Z36">
    <cfRule type="cellIs" dxfId="11" priority="33" stopIfTrue="1" operator="lessThan">
      <formula>1</formula>
    </cfRule>
    <cfRule type="cellIs" dxfId="10" priority="34" stopIfTrue="1" operator="greaterThan">
      <formula>1</formula>
    </cfRule>
    <cfRule type="cellIs" dxfId="9" priority="35" stopIfTrue="1" operator="lessThan">
      <formula>1</formula>
    </cfRule>
    <cfRule type="cellIs" dxfId="8" priority="36" stopIfTrue="1" operator="greaterThan">
      <formula>1</formula>
    </cfRule>
  </conditionalFormatting>
  <conditionalFormatting sqref="R45:Z49">
    <cfRule type="cellIs" dxfId="7" priority="41" stopIfTrue="1" operator="lessThan">
      <formula>1</formula>
    </cfRule>
    <cfRule type="cellIs" dxfId="6" priority="42" stopIfTrue="1" operator="greaterThan">
      <formula>1</formula>
    </cfRule>
    <cfRule type="cellIs" dxfId="5" priority="43" stopIfTrue="1" operator="lessThan">
      <formula>1</formula>
    </cfRule>
    <cfRule type="cellIs" dxfId="4" priority="44" stopIfTrue="1" operator="greaterThan">
      <formula>1</formula>
    </cfRule>
  </conditionalFormatting>
  <conditionalFormatting sqref="R58:Z62">
    <cfRule type="cellIs" dxfId="3" priority="1" stopIfTrue="1" operator="lessThan">
      <formula>1</formula>
    </cfRule>
    <cfRule type="cellIs" dxfId="2" priority="2" stopIfTrue="1" operator="greaterThan">
      <formula>1</formula>
    </cfRule>
    <cfRule type="cellIs" dxfId="1" priority="3" stopIfTrue="1" operator="lessThan">
      <formula>1</formula>
    </cfRule>
    <cfRule type="cellIs" dxfId="0" priority="4" stopIfTrue="1" operator="greaterThan">
      <formula>1</formula>
    </cfRule>
  </conditionalFormatting>
  <dataValidations count="4">
    <dataValidation type="list" allowBlank="1" showInputMessage="1" showErrorMessage="1" sqref="B20" xr:uid="{3D76F17B-AA52-4AC3-B965-8A571248B21E}">
      <formula1>BTopbrengspeil</formula1>
    </dataValidation>
    <dataValidation type="list" allowBlank="1" showInputMessage="1" showErrorMessage="1" sqref="B33" xr:uid="{BDFF474D-6C17-4FCE-913C-75C24EFD5C24}">
      <formula1>Sonopbrengspeil</formula1>
    </dataValidation>
    <dataValidation type="list" allowBlank="1" showInputMessage="1" showErrorMessage="1" sqref="B46" xr:uid="{43154847-FD42-4061-BD14-50175CC4845A}">
      <formula1>Sojaopbrengspeil</formula1>
    </dataValidation>
    <dataValidation type="list" allowBlank="1" showInputMessage="1" showErrorMessage="1" sqref="B59" xr:uid="{19EA7416-9F06-4F7D-A879-9285144DFA13}">
      <formula1>Sorgopbrengspeil</formula1>
    </dataValidation>
  </dataValidations>
  <pageMargins left="0.7" right="0.7" top="0.75" bottom="0.75" header="0.3" footer="0.3"/>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DD1E8-508A-484E-A3F8-7EDFFAAAEE35}">
  <dimension ref="A1:P84"/>
  <sheetViews>
    <sheetView topLeftCell="A65" zoomScale="82" zoomScaleNormal="70" workbookViewId="0">
      <selection activeCell="T93" sqref="T93"/>
    </sheetView>
  </sheetViews>
  <sheetFormatPr defaultColWidth="9.109375" defaultRowHeight="13.2" x14ac:dyDescent="0.25"/>
  <cols>
    <col min="1" max="1" width="17.6640625" bestFit="1" customWidth="1"/>
    <col min="2" max="2" width="17.6640625" customWidth="1"/>
  </cols>
  <sheetData>
    <row r="1" spans="1:6" x14ac:dyDescent="0.25">
      <c r="A1" s="566" t="s">
        <v>159</v>
      </c>
      <c r="B1" s="567"/>
      <c r="C1" s="568"/>
      <c r="D1" s="566" t="s">
        <v>160</v>
      </c>
      <c r="E1" s="567"/>
      <c r="F1" s="568"/>
    </row>
    <row r="2" spans="1:6" x14ac:dyDescent="0.25">
      <c r="A2" s="116" t="s">
        <v>161</v>
      </c>
      <c r="B2">
        <v>0</v>
      </c>
      <c r="C2" s="117">
        <v>0</v>
      </c>
      <c r="D2" t="s">
        <v>162</v>
      </c>
      <c r="F2" s="118">
        <f>((B4+B3+F7)/B7)*100</f>
        <v>38.414267230680331</v>
      </c>
    </row>
    <row r="3" spans="1:6" x14ac:dyDescent="0.25">
      <c r="A3" s="116" t="s">
        <v>163</v>
      </c>
      <c r="B3" s="119">
        <f>'Crop Comparison'!C28</f>
        <v>15508.02802246914</v>
      </c>
      <c r="C3" s="118">
        <v>46</v>
      </c>
      <c r="D3" t="s">
        <v>160</v>
      </c>
      <c r="F3" s="117">
        <v>1</v>
      </c>
    </row>
    <row r="4" spans="1:6" x14ac:dyDescent="0.25">
      <c r="A4" s="116" t="s">
        <v>164</v>
      </c>
      <c r="B4" s="119">
        <f>'Crop Comparison'!C30</f>
        <v>6930.69</v>
      </c>
      <c r="C4" s="118">
        <f>B4/$B$7*100</f>
        <v>19.022103750293841</v>
      </c>
      <c r="D4" t="s">
        <v>165</v>
      </c>
      <c r="F4" s="118">
        <f>C7-F3-F2</f>
        <v>164.02210375029384</v>
      </c>
    </row>
    <row r="5" spans="1:6" x14ac:dyDescent="0.25">
      <c r="A5" s="116" t="s">
        <v>166</v>
      </c>
      <c r="B5" s="119">
        <f>'Crop Comparison'!C8</f>
        <v>13996.210999999999</v>
      </c>
      <c r="C5" s="118">
        <f>B5/$B$7*100</f>
        <v>38.414267230680331</v>
      </c>
      <c r="D5" s="116"/>
      <c r="F5" s="117"/>
    </row>
    <row r="6" spans="1:6" x14ac:dyDescent="0.25">
      <c r="A6" s="116" t="s">
        <v>167</v>
      </c>
      <c r="C6" s="117">
        <v>100</v>
      </c>
      <c r="D6" s="116"/>
      <c r="F6" s="117"/>
    </row>
    <row r="7" spans="1:6" ht="13.8" thickBot="1" x14ac:dyDescent="0.3">
      <c r="A7" s="120" t="s">
        <v>168</v>
      </c>
      <c r="B7" s="121">
        <f>SUM(B3:B5)</f>
        <v>36434.929022469136</v>
      </c>
      <c r="C7" s="122">
        <f>SUM(C2:C6)</f>
        <v>203.43637098097417</v>
      </c>
      <c r="D7" s="120" t="s">
        <v>169</v>
      </c>
      <c r="E7" s="123"/>
      <c r="F7" s="140">
        <f>B5-(B3+B4)</f>
        <v>-8442.5070224691408</v>
      </c>
    </row>
    <row r="17" spans="1:16" ht="13.8" thickBot="1" x14ac:dyDescent="0.3"/>
    <row r="18" spans="1:16" x14ac:dyDescent="0.25">
      <c r="A18" s="566" t="s">
        <v>170</v>
      </c>
      <c r="B18" s="567"/>
      <c r="C18" s="568"/>
      <c r="D18" s="566" t="s">
        <v>160</v>
      </c>
      <c r="E18" s="567"/>
      <c r="F18" s="568"/>
    </row>
    <row r="19" spans="1:16" x14ac:dyDescent="0.25">
      <c r="A19" s="116" t="s">
        <v>161</v>
      </c>
      <c r="B19">
        <v>0</v>
      </c>
      <c r="C19" s="117">
        <v>0</v>
      </c>
      <c r="D19" t="s">
        <v>162</v>
      </c>
      <c r="F19" s="118">
        <f>((B21+B20+F24)/B24)*100</f>
        <v>45.588040734911182</v>
      </c>
    </row>
    <row r="20" spans="1:16" x14ac:dyDescent="0.25">
      <c r="A20" s="116" t="s">
        <v>163</v>
      </c>
      <c r="B20" s="119">
        <f>'Crop Comparison'!D28</f>
        <v>8992.9382715949087</v>
      </c>
      <c r="C20" s="118">
        <f>B20/$B$24*100</f>
        <v>32.779868080541711</v>
      </c>
      <c r="D20" t="s">
        <v>160</v>
      </c>
      <c r="F20" s="117">
        <v>1</v>
      </c>
    </row>
    <row r="21" spans="1:16" x14ac:dyDescent="0.25">
      <c r="A21" s="116" t="s">
        <v>164</v>
      </c>
      <c r="B21" s="119">
        <f>'Crop Comparison'!D30</f>
        <v>5934.62</v>
      </c>
      <c r="C21" s="118">
        <f>B21/$B$24*100</f>
        <v>21.6320911845471</v>
      </c>
      <c r="D21" t="s">
        <v>165</v>
      </c>
      <c r="F21" s="118">
        <f>C24-F20-F19</f>
        <v>153.41195926508883</v>
      </c>
    </row>
    <row r="22" spans="1:16" x14ac:dyDescent="0.25">
      <c r="A22" s="116" t="s">
        <v>166</v>
      </c>
      <c r="B22" s="119">
        <f>'Crop Comparison'!D8</f>
        <v>12506.77505</v>
      </c>
      <c r="C22" s="118">
        <f>B22/$B$24*100</f>
        <v>45.588040734911182</v>
      </c>
      <c r="D22" s="116"/>
      <c r="F22" s="117"/>
      <c r="P22" s="141"/>
    </row>
    <row r="23" spans="1:16" x14ac:dyDescent="0.25">
      <c r="A23" s="116" t="s">
        <v>167</v>
      </c>
      <c r="C23" s="117">
        <v>100</v>
      </c>
      <c r="D23" s="116"/>
      <c r="F23" s="117"/>
    </row>
    <row r="24" spans="1:16" ht="13.8" thickBot="1" x14ac:dyDescent="0.3">
      <c r="A24" s="120" t="s">
        <v>168</v>
      </c>
      <c r="B24" s="121">
        <f>SUM(B20:B22)</f>
        <v>27434.33332159491</v>
      </c>
      <c r="C24" s="122">
        <f>SUM(C19:C23)</f>
        <v>200</v>
      </c>
      <c r="D24" s="120" t="s">
        <v>169</v>
      </c>
      <c r="E24" s="123"/>
      <c r="F24" s="140">
        <f>B22-(B20+B21)</f>
        <v>-2420.7832215949093</v>
      </c>
    </row>
    <row r="34" spans="1:6" ht="13.8" thickBot="1" x14ac:dyDescent="0.3"/>
    <row r="35" spans="1:6" x14ac:dyDescent="0.25">
      <c r="A35" s="566" t="s">
        <v>171</v>
      </c>
      <c r="B35" s="567"/>
      <c r="C35" s="568"/>
      <c r="D35" s="566" t="s">
        <v>160</v>
      </c>
      <c r="E35" s="567"/>
      <c r="F35" s="568"/>
    </row>
    <row r="36" spans="1:6" x14ac:dyDescent="0.25">
      <c r="A36" s="116" t="s">
        <v>161</v>
      </c>
      <c r="B36">
        <v>0</v>
      </c>
      <c r="C36" s="117">
        <v>0</v>
      </c>
      <c r="D36" t="s">
        <v>162</v>
      </c>
      <c r="F36" s="118">
        <f>((B38+B37+F41)/B41)*100</f>
        <v>48.732299070579238</v>
      </c>
    </row>
    <row r="37" spans="1:6" x14ac:dyDescent="0.25">
      <c r="A37" s="116" t="s">
        <v>163</v>
      </c>
      <c r="B37" s="119">
        <f>'Crop Comparison'!E28</f>
        <v>12059.824215328314</v>
      </c>
      <c r="C37" s="118">
        <f>B37/$B$41*100</f>
        <v>34.192779900136117</v>
      </c>
      <c r="D37" t="s">
        <v>160</v>
      </c>
      <c r="F37" s="117">
        <v>1</v>
      </c>
    </row>
    <row r="38" spans="1:6" x14ac:dyDescent="0.25">
      <c r="A38" s="116" t="s">
        <v>164</v>
      </c>
      <c r="B38" s="119">
        <f>'Crop Comparison'!E30</f>
        <v>6022.3399999999992</v>
      </c>
      <c r="C38" s="118">
        <f>B38/$B$41*100</f>
        <v>17.074921029284653</v>
      </c>
      <c r="D38" t="s">
        <v>165</v>
      </c>
      <c r="F38" s="118">
        <f>C41-F37-F36</f>
        <v>150.26770092942076</v>
      </c>
    </row>
    <row r="39" spans="1:6" x14ac:dyDescent="0.25">
      <c r="A39" s="116" t="s">
        <v>166</v>
      </c>
      <c r="B39" s="119">
        <f>'Crop Comparison'!E8</f>
        <v>17187.9257</v>
      </c>
      <c r="C39" s="118">
        <f>B39/$B$41*100</f>
        <v>48.732299070579238</v>
      </c>
      <c r="D39" s="116"/>
      <c r="F39" s="117"/>
    </row>
    <row r="40" spans="1:6" x14ac:dyDescent="0.25">
      <c r="A40" s="116" t="s">
        <v>167</v>
      </c>
      <c r="C40" s="117">
        <v>100</v>
      </c>
      <c r="D40" s="116"/>
      <c r="F40" s="117"/>
    </row>
    <row r="41" spans="1:6" ht="13.8" thickBot="1" x14ac:dyDescent="0.3">
      <c r="A41" s="120" t="s">
        <v>168</v>
      </c>
      <c r="B41" s="121">
        <f>SUM(B37:B39)</f>
        <v>35270.08991532831</v>
      </c>
      <c r="C41" s="122">
        <f>SUM(C36:C40)</f>
        <v>200</v>
      </c>
      <c r="D41" s="120" t="s">
        <v>169</v>
      </c>
      <c r="E41" s="123"/>
      <c r="F41" s="140">
        <f>B39-(B37+B38)</f>
        <v>-894.23851532831395</v>
      </c>
    </row>
    <row r="52" spans="1:6" ht="13.8" thickBot="1" x14ac:dyDescent="0.3"/>
    <row r="53" spans="1:6" x14ac:dyDescent="0.25">
      <c r="A53" s="566" t="s">
        <v>172</v>
      </c>
      <c r="B53" s="567"/>
      <c r="C53" s="568"/>
      <c r="D53" s="566" t="s">
        <v>160</v>
      </c>
      <c r="E53" s="567"/>
      <c r="F53" s="568"/>
    </row>
    <row r="54" spans="1:6" x14ac:dyDescent="0.25">
      <c r="A54" s="116" t="s">
        <v>161</v>
      </c>
      <c r="B54">
        <v>0</v>
      </c>
      <c r="C54" s="117">
        <v>0</v>
      </c>
      <c r="D54" t="s">
        <v>162</v>
      </c>
      <c r="F54" s="118">
        <f>((B56+B55+F59)/B59)*100</f>
        <v>32.653499302897089</v>
      </c>
    </row>
    <row r="55" spans="1:6" x14ac:dyDescent="0.25">
      <c r="A55" s="116" t="s">
        <v>163</v>
      </c>
      <c r="B55" s="119">
        <f>'Crop Comparison'!F28</f>
        <v>11412.369206264999</v>
      </c>
      <c r="C55" s="118">
        <f>B55/$B$59*100</f>
        <v>42.261307965523827</v>
      </c>
      <c r="D55" t="s">
        <v>160</v>
      </c>
      <c r="F55" s="117">
        <v>1</v>
      </c>
    </row>
    <row r="56" spans="1:6" x14ac:dyDescent="0.25">
      <c r="A56" s="116" t="s">
        <v>164</v>
      </c>
      <c r="B56" s="119">
        <f>'Crop Comparison'!F30</f>
        <v>6774.08</v>
      </c>
      <c r="C56" s="118">
        <f>B56/$B$59*100</f>
        <v>25.085192731579077</v>
      </c>
      <c r="D56" t="s">
        <v>165</v>
      </c>
      <c r="F56" s="118">
        <f>C59-F55-F54</f>
        <v>166.3465006971029</v>
      </c>
    </row>
    <row r="57" spans="1:6" x14ac:dyDescent="0.25">
      <c r="A57" s="116" t="s">
        <v>166</v>
      </c>
      <c r="B57" s="119">
        <f>'Crop Comparison'!F8</f>
        <v>8817.848</v>
      </c>
      <c r="C57" s="118">
        <f>B57/$B$59*100</f>
        <v>32.653499302897089</v>
      </c>
      <c r="D57" s="116"/>
      <c r="F57" s="117"/>
    </row>
    <row r="58" spans="1:6" x14ac:dyDescent="0.25">
      <c r="A58" s="116" t="s">
        <v>167</v>
      </c>
      <c r="C58" s="118">
        <v>100</v>
      </c>
      <c r="D58" s="116"/>
      <c r="F58" s="117"/>
    </row>
    <row r="59" spans="1:6" ht="13.8" thickBot="1" x14ac:dyDescent="0.3">
      <c r="A59" s="120" t="s">
        <v>168</v>
      </c>
      <c r="B59" s="121">
        <f>SUM(B55:B57)</f>
        <v>27004.297206265001</v>
      </c>
      <c r="C59" s="122">
        <f>SUM(C54:C58)</f>
        <v>200</v>
      </c>
      <c r="D59" s="120" t="s">
        <v>169</v>
      </c>
      <c r="E59" s="123"/>
      <c r="F59" s="140">
        <f>B57-(B55+B56)</f>
        <v>-9368.6012062649988</v>
      </c>
    </row>
    <row r="77" spans="1:6" ht="13.8" thickBot="1" x14ac:dyDescent="0.3"/>
    <row r="78" spans="1:6" x14ac:dyDescent="0.25">
      <c r="A78" s="566" t="s">
        <v>173</v>
      </c>
      <c r="B78" s="567"/>
      <c r="C78" s="568"/>
      <c r="D78" s="566" t="s">
        <v>160</v>
      </c>
      <c r="E78" s="567"/>
      <c r="F78" s="568"/>
    </row>
    <row r="79" spans="1:6" x14ac:dyDescent="0.25">
      <c r="A79" s="116" t="s">
        <v>161</v>
      </c>
      <c r="B79">
        <v>0</v>
      </c>
      <c r="C79" s="117">
        <v>0</v>
      </c>
      <c r="D79" t="s">
        <v>162</v>
      </c>
      <c r="F79" s="118">
        <f>((B81+B80+F84)/B84)*100</f>
        <v>51.416617165474463</v>
      </c>
    </row>
    <row r="80" spans="1:6" x14ac:dyDescent="0.25">
      <c r="A80" s="116" t="s">
        <v>163</v>
      </c>
      <c r="B80" s="119">
        <f>'Crop Comparison'!G28</f>
        <v>8964.3088822075006</v>
      </c>
      <c r="C80" s="118">
        <f>B80/$B$84*100</f>
        <v>26.623903756012286</v>
      </c>
      <c r="D80" t="s">
        <v>160</v>
      </c>
      <c r="F80" s="117">
        <v>1</v>
      </c>
    </row>
    <row r="81" spans="1:6" x14ac:dyDescent="0.25">
      <c r="A81" s="116" t="s">
        <v>164</v>
      </c>
      <c r="B81" s="119">
        <f>'Crop Comparison'!G30</f>
        <v>7393.79</v>
      </c>
      <c r="C81" s="118">
        <f>B81/$B$84*100</f>
        <v>21.959479078513244</v>
      </c>
      <c r="D81" t="s">
        <v>165</v>
      </c>
      <c r="F81" s="118">
        <f>C84-F80-F79</f>
        <v>147.58338283452554</v>
      </c>
    </row>
    <row r="82" spans="1:6" x14ac:dyDescent="0.25">
      <c r="A82" s="116" t="s">
        <v>166</v>
      </c>
      <c r="B82" s="119">
        <f>'Crop Comparison'!G8</f>
        <v>17312.053189999999</v>
      </c>
      <c r="C82" s="118">
        <f>B82/$B$84*100</f>
        <v>51.416617165474463</v>
      </c>
      <c r="D82" s="116"/>
      <c r="F82" s="117"/>
    </row>
    <row r="83" spans="1:6" x14ac:dyDescent="0.25">
      <c r="A83" s="116" t="s">
        <v>167</v>
      </c>
      <c r="C83" s="118">
        <v>100</v>
      </c>
      <c r="D83" s="116"/>
      <c r="F83" s="117"/>
    </row>
    <row r="84" spans="1:6" ht="13.8" thickBot="1" x14ac:dyDescent="0.3">
      <c r="A84" s="120" t="s">
        <v>168</v>
      </c>
      <c r="B84" s="121">
        <f>SUM(B80:B82)</f>
        <v>33670.1520722075</v>
      </c>
      <c r="C84" s="122">
        <f>SUM(C79:C83)</f>
        <v>200</v>
      </c>
      <c r="D84" s="120" t="s">
        <v>169</v>
      </c>
      <c r="E84" s="123"/>
      <c r="F84" s="140">
        <f>B82-(B80+B81)</f>
        <v>953.95430779249727</v>
      </c>
    </row>
  </sheetData>
  <mergeCells count="10">
    <mergeCell ref="A78:C78"/>
    <mergeCell ref="D78:F78"/>
    <mergeCell ref="A53:C53"/>
    <mergeCell ref="D53:F53"/>
    <mergeCell ref="A1:C1"/>
    <mergeCell ref="D1:F1"/>
    <mergeCell ref="A18:C18"/>
    <mergeCell ref="D18:F18"/>
    <mergeCell ref="A35:C35"/>
    <mergeCell ref="D35:F3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FA177-22A6-45BE-B949-D5E3483293E5}">
  <dimension ref="A1:F61"/>
  <sheetViews>
    <sheetView workbookViewId="0">
      <selection activeCell="S60" sqref="S60"/>
    </sheetView>
  </sheetViews>
  <sheetFormatPr defaultColWidth="9.109375" defaultRowHeight="13.2" x14ac:dyDescent="0.25"/>
  <cols>
    <col min="1" max="1" width="17.6640625" bestFit="1" customWidth="1"/>
    <col min="2" max="2" width="17.6640625" customWidth="1"/>
  </cols>
  <sheetData>
    <row r="1" spans="1:6" x14ac:dyDescent="0.25">
      <c r="A1" s="566" t="s">
        <v>159</v>
      </c>
      <c r="B1" s="567"/>
      <c r="C1" s="568"/>
      <c r="D1" s="566" t="s">
        <v>160</v>
      </c>
      <c r="E1" s="567"/>
      <c r="F1" s="568"/>
    </row>
    <row r="2" spans="1:6" x14ac:dyDescent="0.25">
      <c r="A2" s="116" t="s">
        <v>161</v>
      </c>
      <c r="B2">
        <v>0</v>
      </c>
      <c r="C2" s="117">
        <v>0</v>
      </c>
      <c r="D2" t="s">
        <v>162</v>
      </c>
      <c r="F2" s="118">
        <f>((B4+B3+F7)/B7)*100</f>
        <v>43.732366172411446</v>
      </c>
    </row>
    <row r="3" spans="1:6" x14ac:dyDescent="0.25">
      <c r="A3" s="116" t="s">
        <v>163</v>
      </c>
      <c r="B3" s="119">
        <f>'Crop Comparison'!C28</f>
        <v>15508.02802246914</v>
      </c>
      <c r="C3" s="118">
        <f>B3/$B$7*100</f>
        <v>48.456168608106751</v>
      </c>
      <c r="D3" t="s">
        <v>160</v>
      </c>
      <c r="F3" s="117">
        <v>1</v>
      </c>
    </row>
    <row r="4" spans="1:6" x14ac:dyDescent="0.25">
      <c r="A4" s="116" t="s">
        <v>164</v>
      </c>
      <c r="B4" s="119">
        <v>2500</v>
      </c>
      <c r="C4" s="118">
        <f>B4/$B$7*100</f>
        <v>7.8114652194818044</v>
      </c>
      <c r="D4" t="s">
        <v>165</v>
      </c>
      <c r="F4" s="118">
        <f>C7-F3-F2</f>
        <v>155.26763382758855</v>
      </c>
    </row>
    <row r="5" spans="1:6" x14ac:dyDescent="0.25">
      <c r="A5" s="116" t="s">
        <v>166</v>
      </c>
      <c r="B5" s="119">
        <f>'Crop Comparison'!C8</f>
        <v>13996.210999999999</v>
      </c>
      <c r="C5" s="118">
        <f>B5/$B$7*100</f>
        <v>43.732366172411453</v>
      </c>
      <c r="D5" s="116"/>
      <c r="F5" s="117"/>
    </row>
    <row r="6" spans="1:6" x14ac:dyDescent="0.25">
      <c r="A6" s="116" t="s">
        <v>167</v>
      </c>
      <c r="C6" s="117">
        <v>100</v>
      </c>
      <c r="D6" s="116"/>
      <c r="F6" s="117"/>
    </row>
    <row r="7" spans="1:6" ht="13.8" thickBot="1" x14ac:dyDescent="0.3">
      <c r="A7" s="120" t="s">
        <v>168</v>
      </c>
      <c r="B7" s="121">
        <f>SUM(B3:B5)</f>
        <v>32004.239022469137</v>
      </c>
      <c r="C7" s="122">
        <f>SUM(C2:C6)</f>
        <v>200</v>
      </c>
      <c r="D7" s="120" t="s">
        <v>169</v>
      </c>
      <c r="E7" s="123"/>
      <c r="F7" s="124">
        <f>B5-B3-B4</f>
        <v>-4011.8170224691403</v>
      </c>
    </row>
    <row r="15" spans="1:6" x14ac:dyDescent="0.25">
      <c r="C15">
        <v>14.77</v>
      </c>
      <c r="D15">
        <v>21.01</v>
      </c>
      <c r="E15">
        <f>(D15-C15)/C15</f>
        <v>0.42247799593771174</v>
      </c>
    </row>
    <row r="17" spans="1:6" ht="13.8" thickBot="1" x14ac:dyDescent="0.3"/>
    <row r="18" spans="1:6" x14ac:dyDescent="0.25">
      <c r="A18" s="566" t="s">
        <v>170</v>
      </c>
      <c r="B18" s="567"/>
      <c r="C18" s="568"/>
      <c r="D18" s="566" t="s">
        <v>160</v>
      </c>
      <c r="E18" s="567"/>
      <c r="F18" s="568"/>
    </row>
    <row r="19" spans="1:6" x14ac:dyDescent="0.25">
      <c r="A19" s="116" t="s">
        <v>161</v>
      </c>
      <c r="B19">
        <v>0</v>
      </c>
      <c r="C19" s="117">
        <v>0</v>
      </c>
      <c r="D19" t="s">
        <v>162</v>
      </c>
      <c r="F19" s="118">
        <f>((B21+B20+F24)/B24)*100</f>
        <v>53.220968608612694</v>
      </c>
    </row>
    <row r="20" spans="1:6" x14ac:dyDescent="0.25">
      <c r="A20" s="116" t="s">
        <v>163</v>
      </c>
      <c r="B20" s="119">
        <f>'Crop Comparison'!D28</f>
        <v>8992.9382715949087</v>
      </c>
      <c r="C20" s="118">
        <f>B20/$B$24*100</f>
        <v>38.268289270281898</v>
      </c>
      <c r="D20" t="s">
        <v>160</v>
      </c>
      <c r="F20" s="117">
        <v>1</v>
      </c>
    </row>
    <row r="21" spans="1:6" x14ac:dyDescent="0.25">
      <c r="A21" s="116" t="s">
        <v>164</v>
      </c>
      <c r="B21" s="119">
        <v>2000</v>
      </c>
      <c r="C21" s="118">
        <f>B21/$B$24*100</f>
        <v>8.5107421211054231</v>
      </c>
      <c r="D21" t="s">
        <v>165</v>
      </c>
      <c r="F21" s="118">
        <f>C24-F20-F19</f>
        <v>145.77903139138732</v>
      </c>
    </row>
    <row r="22" spans="1:6" x14ac:dyDescent="0.25">
      <c r="A22" s="116" t="s">
        <v>166</v>
      </c>
      <c r="B22" s="119">
        <f>'Crop Comparison'!D8</f>
        <v>12506.77505</v>
      </c>
      <c r="C22" s="118">
        <f>B22/$B$24*100</f>
        <v>53.220968608612694</v>
      </c>
      <c r="D22" s="116"/>
      <c r="F22" s="117"/>
    </row>
    <row r="23" spans="1:6" x14ac:dyDescent="0.25">
      <c r="A23" s="116" t="s">
        <v>167</v>
      </c>
      <c r="C23" s="117">
        <v>100</v>
      </c>
      <c r="D23" s="116"/>
      <c r="F23" s="117"/>
    </row>
    <row r="24" spans="1:6" ht="13.8" thickBot="1" x14ac:dyDescent="0.3">
      <c r="A24" s="120" t="s">
        <v>168</v>
      </c>
      <c r="B24" s="121">
        <f>SUM(B20:B22)</f>
        <v>23499.713321594907</v>
      </c>
      <c r="C24" s="122">
        <f>SUM(C19:C23)</f>
        <v>200</v>
      </c>
      <c r="D24" s="120" t="s">
        <v>169</v>
      </c>
      <c r="E24" s="123"/>
      <c r="F24" s="124">
        <f>B22-B20-B21</f>
        <v>1513.8367784050915</v>
      </c>
    </row>
    <row r="34" spans="1:6" ht="13.8" thickBot="1" x14ac:dyDescent="0.3"/>
    <row r="35" spans="1:6" x14ac:dyDescent="0.25">
      <c r="A35" s="566" t="s">
        <v>171</v>
      </c>
      <c r="B35" s="567"/>
      <c r="C35" s="568"/>
      <c r="D35" s="566" t="s">
        <v>160</v>
      </c>
      <c r="E35" s="567"/>
      <c r="F35" s="568"/>
    </row>
    <row r="36" spans="1:6" x14ac:dyDescent="0.25">
      <c r="A36" s="116" t="s">
        <v>161</v>
      </c>
      <c r="B36">
        <v>0</v>
      </c>
      <c r="C36" s="117">
        <v>0</v>
      </c>
      <c r="D36" t="s">
        <v>162</v>
      </c>
      <c r="F36" s="118">
        <f>((B38+B37+F41)/B41)*100</f>
        <v>55.005322772276187</v>
      </c>
    </row>
    <row r="37" spans="1:6" x14ac:dyDescent="0.25">
      <c r="A37" s="116" t="s">
        <v>163</v>
      </c>
      <c r="B37" s="119">
        <f>'Crop Comparison'!E28</f>
        <v>12059.824215328314</v>
      </c>
      <c r="C37" s="118">
        <f>B37/$B$41*100</f>
        <v>38.59421637720056</v>
      </c>
      <c r="D37" t="s">
        <v>160</v>
      </c>
      <c r="F37" s="117">
        <v>1</v>
      </c>
    </row>
    <row r="38" spans="1:6" x14ac:dyDescent="0.25">
      <c r="A38" s="116" t="s">
        <v>164</v>
      </c>
      <c r="B38" s="119">
        <v>2000</v>
      </c>
      <c r="C38" s="118">
        <f>B38/$B$41*100</f>
        <v>6.4004608505232472</v>
      </c>
      <c r="D38" t="s">
        <v>165</v>
      </c>
      <c r="F38" s="118">
        <f>C41-F37-F36</f>
        <v>143.9946772277238</v>
      </c>
    </row>
    <row r="39" spans="1:6" x14ac:dyDescent="0.25">
      <c r="A39" s="116" t="s">
        <v>166</v>
      </c>
      <c r="B39" s="119">
        <f>'Crop Comparison'!E8</f>
        <v>17187.9257</v>
      </c>
      <c r="C39" s="118">
        <f>B39/$B$41*100</f>
        <v>55.005322772276187</v>
      </c>
      <c r="D39" s="116"/>
      <c r="F39" s="117"/>
    </row>
    <row r="40" spans="1:6" x14ac:dyDescent="0.25">
      <c r="A40" s="116" t="s">
        <v>167</v>
      </c>
      <c r="C40" s="117">
        <v>100</v>
      </c>
      <c r="D40" s="116"/>
      <c r="F40" s="117"/>
    </row>
    <row r="41" spans="1:6" ht="13.8" thickBot="1" x14ac:dyDescent="0.3">
      <c r="A41" s="120" t="s">
        <v>168</v>
      </c>
      <c r="B41" s="121">
        <f>SUM(B37:B39)</f>
        <v>31247.749915328313</v>
      </c>
      <c r="C41" s="122">
        <f>SUM(C36:C40)</f>
        <v>200</v>
      </c>
      <c r="D41" s="120" t="s">
        <v>169</v>
      </c>
      <c r="E41" s="123"/>
      <c r="F41" s="124">
        <f>B39-B37-B38</f>
        <v>3128.1014846716862</v>
      </c>
    </row>
    <row r="54" spans="1:6" ht="13.8" thickBot="1" x14ac:dyDescent="0.3"/>
    <row r="55" spans="1:6" x14ac:dyDescent="0.25">
      <c r="A55" s="569" t="s">
        <v>172</v>
      </c>
      <c r="B55" s="567"/>
      <c r="C55" s="568"/>
      <c r="D55" s="566" t="s">
        <v>160</v>
      </c>
      <c r="E55" s="567"/>
      <c r="F55" s="568"/>
    </row>
    <row r="56" spans="1:6" x14ac:dyDescent="0.25">
      <c r="A56" s="116" t="s">
        <v>161</v>
      </c>
      <c r="B56">
        <v>0</v>
      </c>
      <c r="C56" s="117">
        <v>0</v>
      </c>
      <c r="D56" t="s">
        <v>162</v>
      </c>
      <c r="F56" s="118">
        <f>((B58+B57+F61)/B61)*100</f>
        <v>38.793505226908202</v>
      </c>
    </row>
    <row r="57" spans="1:6" x14ac:dyDescent="0.25">
      <c r="A57" s="116" t="s">
        <v>163</v>
      </c>
      <c r="B57" s="119">
        <f>'Crop Comparison'!F28</f>
        <v>11412.369206264999</v>
      </c>
      <c r="C57" s="118">
        <f>B57/$B$61*100</f>
        <v>50.207919716312574</v>
      </c>
      <c r="D57" t="s">
        <v>160</v>
      </c>
      <c r="F57" s="117">
        <v>1</v>
      </c>
    </row>
    <row r="58" spans="1:6" x14ac:dyDescent="0.25">
      <c r="A58" s="116" t="s">
        <v>164</v>
      </c>
      <c r="B58" s="119">
        <v>2500</v>
      </c>
      <c r="C58" s="118">
        <f>B58/$B$61*100</f>
        <v>10.998575056779217</v>
      </c>
      <c r="D58" t="s">
        <v>165</v>
      </c>
      <c r="F58" s="118">
        <f>C61-F57-F56</f>
        <v>160.2064947730918</v>
      </c>
    </row>
    <row r="59" spans="1:6" x14ac:dyDescent="0.25">
      <c r="A59" s="116" t="s">
        <v>166</v>
      </c>
      <c r="B59" s="119">
        <f>'Crop Comparison'!F8</f>
        <v>8817.848</v>
      </c>
      <c r="C59" s="118">
        <f>B59/$B$61*100</f>
        <v>38.793505226908202</v>
      </c>
      <c r="D59" s="116"/>
      <c r="F59" s="117"/>
    </row>
    <row r="60" spans="1:6" x14ac:dyDescent="0.25">
      <c r="A60" s="116" t="s">
        <v>167</v>
      </c>
      <c r="C60" s="117">
        <v>100</v>
      </c>
      <c r="D60" s="116"/>
      <c r="F60" s="117"/>
    </row>
    <row r="61" spans="1:6" ht="13.8" thickBot="1" x14ac:dyDescent="0.3">
      <c r="A61" s="120" t="s">
        <v>168</v>
      </c>
      <c r="B61" s="121">
        <f>SUM(B57:B59)</f>
        <v>22730.217206264999</v>
      </c>
      <c r="C61" s="122">
        <f>SUM(C56:C60)</f>
        <v>200</v>
      </c>
      <c r="D61" s="120" t="s">
        <v>169</v>
      </c>
      <c r="E61" s="123"/>
      <c r="F61" s="124">
        <f>B59-B57-B58</f>
        <v>-5094.5212062649989</v>
      </c>
    </row>
  </sheetData>
  <mergeCells count="8">
    <mergeCell ref="A55:C55"/>
    <mergeCell ref="D55:F55"/>
    <mergeCell ref="A1:C1"/>
    <mergeCell ref="D1:F1"/>
    <mergeCell ref="A18:C18"/>
    <mergeCell ref="D18:F18"/>
    <mergeCell ref="A35:C35"/>
    <mergeCell ref="D35:F35"/>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15F95-7078-432D-A6F1-4CEE3029C8F7}">
  <sheetPr>
    <pageSetUpPr fitToPage="1"/>
  </sheetPr>
  <dimension ref="A1:J47"/>
  <sheetViews>
    <sheetView zoomScale="85" zoomScaleNormal="85" zoomScaleSheetLayoutView="90" workbookViewId="0">
      <selection activeCell="E1" sqref="E1:G1"/>
    </sheetView>
  </sheetViews>
  <sheetFormatPr defaultColWidth="9.109375" defaultRowHeight="13.2" x14ac:dyDescent="0.25"/>
  <cols>
    <col min="1" max="1" width="41.6640625" style="1" customWidth="1"/>
    <col min="2" max="2" width="17.6640625" style="1" customWidth="1"/>
    <col min="3" max="3" width="35.88671875" style="1" customWidth="1"/>
    <col min="4" max="4" width="14.6640625" style="196" customWidth="1"/>
    <col min="5" max="8" width="14.44140625" style="196" customWidth="1"/>
    <col min="9" max="9" width="13" style="196" customWidth="1"/>
    <col min="10" max="10" width="12" style="1" customWidth="1"/>
    <col min="11" max="11" width="10.6640625" style="1" customWidth="1"/>
    <col min="12" max="22" width="12.6640625" style="1" customWidth="1"/>
    <col min="23" max="16384" width="9.109375" style="1"/>
  </cols>
  <sheetData>
    <row r="1" spans="1:9" ht="33.75" customHeight="1" thickBot="1" x14ac:dyDescent="0.3">
      <c r="A1" s="474" t="s">
        <v>42</v>
      </c>
      <c r="B1" s="475"/>
      <c r="C1" s="475"/>
      <c r="D1" s="475"/>
      <c r="E1" s="476" t="s">
        <v>43</v>
      </c>
      <c r="F1" s="476"/>
      <c r="G1" s="476"/>
      <c r="H1" s="176"/>
      <c r="I1" s="177"/>
    </row>
    <row r="2" spans="1:9" ht="16.2" thickBot="1" x14ac:dyDescent="0.3">
      <c r="A2" s="151"/>
      <c r="B2" s="152"/>
      <c r="C2" s="153"/>
      <c r="D2" s="178"/>
      <c r="E2" s="179"/>
      <c r="F2" s="179"/>
      <c r="G2" s="179"/>
      <c r="H2" s="179"/>
      <c r="I2" s="180"/>
    </row>
    <row r="3" spans="1:9" ht="25.5" customHeight="1" thickBot="1" x14ac:dyDescent="0.3">
      <c r="A3" s="478" t="s">
        <v>44</v>
      </c>
      <c r="B3" s="479"/>
      <c r="C3" s="479"/>
      <c r="D3" s="181"/>
      <c r="E3" s="234">
        <f>'Pryse + Sensatiwiteitsanalise'!B24</f>
        <v>3413.71</v>
      </c>
      <c r="F3" s="181" t="s">
        <v>45</v>
      </c>
      <c r="G3" s="182"/>
      <c r="H3" s="182"/>
      <c r="I3" s="183"/>
    </row>
    <row r="4" spans="1:9" x14ac:dyDescent="0.25">
      <c r="A4" s="154"/>
      <c r="B4" s="155"/>
      <c r="C4" s="155"/>
      <c r="D4" s="184"/>
      <c r="E4" s="179"/>
      <c r="F4" s="185"/>
      <c r="G4" s="184"/>
      <c r="H4" s="179"/>
      <c r="I4" s="180"/>
    </row>
    <row r="5" spans="1:9" x14ac:dyDescent="0.25">
      <c r="A5" s="218" t="s">
        <v>46</v>
      </c>
      <c r="B5" s="156"/>
      <c r="C5" s="156"/>
      <c r="D5" s="209">
        <v>3</v>
      </c>
      <c r="E5" s="209">
        <v>3.5</v>
      </c>
      <c r="F5" s="209">
        <v>4</v>
      </c>
      <c r="G5" s="209">
        <v>4.5</v>
      </c>
      <c r="H5" s="209">
        <v>5</v>
      </c>
      <c r="I5" s="209">
        <v>6</v>
      </c>
    </row>
    <row r="6" spans="1:9" ht="14.4" customHeight="1" thickBot="1" x14ac:dyDescent="0.3">
      <c r="A6" s="217" t="s">
        <v>47</v>
      </c>
      <c r="B6" s="217"/>
      <c r="C6" s="157"/>
      <c r="D6" s="235">
        <v>10210.529999999999</v>
      </c>
      <c r="E6" s="235">
        <v>11912.285</v>
      </c>
      <c r="F6" s="235">
        <v>13614.039999999999</v>
      </c>
      <c r="G6" s="235">
        <v>15315.794999999998</v>
      </c>
      <c r="H6" s="235">
        <v>17017.55</v>
      </c>
      <c r="I6" s="235">
        <v>20421.059999999998</v>
      </c>
    </row>
    <row r="7" spans="1:9" ht="13.8" thickBot="1" x14ac:dyDescent="0.3">
      <c r="A7" s="158"/>
      <c r="B7" s="159"/>
      <c r="C7" s="159"/>
      <c r="D7" s="186"/>
      <c r="E7" s="186"/>
      <c r="F7" s="186"/>
      <c r="G7" s="186"/>
      <c r="H7" s="186"/>
      <c r="I7" s="186"/>
    </row>
    <row r="8" spans="1:9" ht="26.4" customHeight="1" thickBot="1" x14ac:dyDescent="0.3">
      <c r="A8" s="147" t="s">
        <v>48</v>
      </c>
      <c r="B8" s="147"/>
      <c r="C8" s="147"/>
      <c r="D8" s="187"/>
      <c r="E8" s="187"/>
      <c r="F8" s="187"/>
      <c r="G8" s="187"/>
      <c r="H8" s="187"/>
      <c r="I8" s="187"/>
    </row>
    <row r="9" spans="1:9" ht="12.75" customHeight="1" x14ac:dyDescent="0.25">
      <c r="A9" s="160" t="s">
        <v>49</v>
      </c>
      <c r="B9" s="161"/>
      <c r="C9" s="161"/>
      <c r="D9" s="221">
        <v>1003.7261749999999</v>
      </c>
      <c r="E9" s="221">
        <v>1003.7261749999999</v>
      </c>
      <c r="F9" s="221">
        <v>1003.7261749999999</v>
      </c>
      <c r="G9" s="221">
        <v>1104.0987924999999</v>
      </c>
      <c r="H9" s="221">
        <v>1204.4714100000001</v>
      </c>
      <c r="I9" s="221">
        <v>1204.4714100000001</v>
      </c>
    </row>
    <row r="10" spans="1:9" ht="12.75" customHeight="1" x14ac:dyDescent="0.25">
      <c r="A10" s="162" t="s">
        <v>50</v>
      </c>
      <c r="B10" s="163"/>
      <c r="C10" s="163"/>
      <c r="D10" s="222">
        <v>4093.5699999999997</v>
      </c>
      <c r="E10" s="222">
        <v>4759.165</v>
      </c>
      <c r="F10" s="222">
        <v>5424.76</v>
      </c>
      <c r="G10" s="222">
        <v>6090.3549999999996</v>
      </c>
      <c r="H10" s="222">
        <v>6755.95</v>
      </c>
      <c r="I10" s="222">
        <v>8087.1399999999994</v>
      </c>
    </row>
    <row r="11" spans="1:9" ht="12.75" customHeight="1" x14ac:dyDescent="0.25">
      <c r="A11" s="162" t="s">
        <v>51</v>
      </c>
      <c r="B11" s="163"/>
      <c r="C11" s="163"/>
      <c r="D11" s="222">
        <v>800</v>
      </c>
      <c r="E11" s="222">
        <v>800</v>
      </c>
      <c r="F11" s="222">
        <v>800</v>
      </c>
      <c r="G11" s="222">
        <v>800</v>
      </c>
      <c r="H11" s="222">
        <v>800</v>
      </c>
      <c r="I11" s="222">
        <v>800</v>
      </c>
    </row>
    <row r="12" spans="1:9" ht="12.75" customHeight="1" x14ac:dyDescent="0.25">
      <c r="A12" s="162" t="s">
        <v>52</v>
      </c>
      <c r="B12" s="163"/>
      <c r="C12" s="163"/>
      <c r="D12" s="222">
        <v>1466.8167679999999</v>
      </c>
      <c r="E12" s="222">
        <v>1499.936768</v>
      </c>
      <c r="F12" s="222">
        <v>1533.0567679999999</v>
      </c>
      <c r="G12" s="222">
        <v>1566.1767679999998</v>
      </c>
      <c r="H12" s="222">
        <v>1599.2967679999999</v>
      </c>
      <c r="I12" s="222">
        <v>1654.496768</v>
      </c>
    </row>
    <row r="13" spans="1:9" ht="12.75" customHeight="1" x14ac:dyDescent="0.25">
      <c r="A13" s="162" t="s">
        <v>53</v>
      </c>
      <c r="B13" s="163"/>
      <c r="C13" s="163"/>
      <c r="D13" s="222">
        <v>1334.2554</v>
      </c>
      <c r="E13" s="222">
        <v>1339.0087333333331</v>
      </c>
      <c r="F13" s="222">
        <v>1343.7620666666667</v>
      </c>
      <c r="G13" s="222">
        <v>1348.5153999999998</v>
      </c>
      <c r="H13" s="222">
        <v>1353.2687333333333</v>
      </c>
      <c r="I13" s="222">
        <v>1362.7754</v>
      </c>
    </row>
    <row r="14" spans="1:9" ht="12.75" customHeight="1" x14ac:dyDescent="0.25">
      <c r="A14" s="162" t="s">
        <v>54</v>
      </c>
      <c r="B14" s="163"/>
      <c r="C14" s="163"/>
      <c r="D14" s="222">
        <v>1056.6820000000002</v>
      </c>
      <c r="E14" s="222">
        <v>1056.6820000000002</v>
      </c>
      <c r="F14" s="222">
        <v>1056.6820000000002</v>
      </c>
      <c r="G14" s="222">
        <v>1056.6820000000002</v>
      </c>
      <c r="H14" s="222">
        <v>1056.6820000000002</v>
      </c>
      <c r="I14" s="222">
        <v>1056.6820000000002</v>
      </c>
    </row>
    <row r="15" spans="1:9" ht="12.75" customHeight="1" x14ac:dyDescent="0.25">
      <c r="A15" s="162" t="s">
        <v>55</v>
      </c>
      <c r="B15" s="163"/>
      <c r="C15" s="163"/>
      <c r="D15" s="222">
        <v>651.54999999999995</v>
      </c>
      <c r="E15" s="222">
        <v>651.54999999999995</v>
      </c>
      <c r="F15" s="222">
        <v>651.54999999999995</v>
      </c>
      <c r="G15" s="222">
        <v>651.54999999999995</v>
      </c>
      <c r="H15" s="222">
        <v>651.54999999999995</v>
      </c>
      <c r="I15" s="222">
        <v>651.54999999999995</v>
      </c>
    </row>
    <row r="16" spans="1:9" ht="12.75" customHeight="1" x14ac:dyDescent="0.25">
      <c r="A16" s="162" t="s">
        <v>56</v>
      </c>
      <c r="B16" s="163"/>
      <c r="C16" s="163"/>
      <c r="D16" s="222"/>
      <c r="E16" s="222"/>
      <c r="F16" s="222"/>
      <c r="G16" s="222"/>
      <c r="H16" s="222"/>
      <c r="I16" s="222"/>
    </row>
    <row r="17" spans="1:10" ht="12.75" customHeight="1" x14ac:dyDescent="0.25">
      <c r="A17" s="162" t="s">
        <v>57</v>
      </c>
      <c r="B17" s="163"/>
      <c r="C17" s="163"/>
      <c r="D17" s="222"/>
      <c r="E17" s="222"/>
      <c r="F17" s="222"/>
      <c r="G17" s="222"/>
      <c r="H17" s="222"/>
      <c r="I17" s="222"/>
    </row>
    <row r="18" spans="1:10" ht="12.75" customHeight="1" x14ac:dyDescent="0.25">
      <c r="A18" s="162" t="s">
        <v>58</v>
      </c>
      <c r="B18" s="163"/>
      <c r="C18" s="163"/>
      <c r="D18" s="222">
        <v>1010.1788836946751</v>
      </c>
      <c r="E18" s="222">
        <v>1077.6950088970455</v>
      </c>
      <c r="F18" s="222">
        <v>1145.2111340994159</v>
      </c>
      <c r="G18" s="222">
        <v>1221.8112530143815</v>
      </c>
      <c r="H18" s="222">
        <v>1298.4113719293473</v>
      </c>
      <c r="I18" s="222">
        <v>1432.4444724355906</v>
      </c>
    </row>
    <row r="19" spans="1:10" ht="12.75" customHeight="1" x14ac:dyDescent="0.25">
      <c r="A19" s="162" t="s">
        <v>59</v>
      </c>
      <c r="B19" s="163"/>
      <c r="C19" s="163"/>
      <c r="D19" s="222"/>
      <c r="E19" s="222"/>
      <c r="F19" s="222"/>
      <c r="G19" s="222"/>
      <c r="H19" s="222"/>
      <c r="I19" s="222"/>
    </row>
    <row r="20" spans="1:10" ht="12.75" customHeight="1" x14ac:dyDescent="0.25">
      <c r="A20" s="162" t="s">
        <v>60</v>
      </c>
      <c r="B20" s="163"/>
      <c r="C20" s="163"/>
      <c r="D20" s="222">
        <v>255.26324999999997</v>
      </c>
      <c r="E20" s="222">
        <v>297.80712499999998</v>
      </c>
      <c r="F20" s="222">
        <v>340.351</v>
      </c>
      <c r="G20" s="222">
        <v>382.89487499999996</v>
      </c>
      <c r="H20" s="222">
        <v>425.43875000000003</v>
      </c>
      <c r="I20" s="222">
        <v>510.52649999999994</v>
      </c>
    </row>
    <row r="21" spans="1:10" ht="12.75" customHeight="1" x14ac:dyDescent="0.25">
      <c r="A21" s="162" t="s">
        <v>61</v>
      </c>
      <c r="B21" s="163"/>
      <c r="C21" s="163"/>
      <c r="D21" s="222">
        <v>200</v>
      </c>
      <c r="E21" s="222">
        <v>200</v>
      </c>
      <c r="F21" s="222">
        <v>200</v>
      </c>
      <c r="G21" s="222">
        <v>200</v>
      </c>
      <c r="H21" s="222">
        <v>200</v>
      </c>
      <c r="I21" s="222">
        <v>200</v>
      </c>
    </row>
    <row r="22" spans="1:10" ht="12.75" customHeight="1" x14ac:dyDescent="0.25">
      <c r="A22" s="162" t="s">
        <v>62</v>
      </c>
      <c r="B22" s="163"/>
      <c r="C22" s="163"/>
      <c r="D22" s="222">
        <v>300</v>
      </c>
      <c r="E22" s="222">
        <v>300</v>
      </c>
      <c r="F22" s="222">
        <v>300</v>
      </c>
      <c r="G22" s="222">
        <v>300</v>
      </c>
      <c r="H22" s="222">
        <v>300</v>
      </c>
      <c r="I22" s="222">
        <v>300</v>
      </c>
    </row>
    <row r="23" spans="1:10" ht="12.75" customHeight="1" x14ac:dyDescent="0.25">
      <c r="A23" s="162" t="s">
        <v>63</v>
      </c>
      <c r="B23" s="163"/>
      <c r="C23" s="163"/>
      <c r="D23" s="222"/>
      <c r="E23" s="222"/>
      <c r="F23" s="222"/>
      <c r="G23" s="222"/>
      <c r="H23" s="222"/>
      <c r="I23" s="222"/>
    </row>
    <row r="24" spans="1:10" ht="12.75" customHeight="1" x14ac:dyDescent="0.25">
      <c r="A24" s="162" t="s">
        <v>64</v>
      </c>
      <c r="B24" s="163"/>
      <c r="C24" s="163"/>
      <c r="D24" s="222"/>
      <c r="E24" s="222"/>
      <c r="F24" s="222"/>
      <c r="G24" s="222"/>
      <c r="H24" s="222"/>
      <c r="I24" s="222"/>
    </row>
    <row r="25" spans="1:10" ht="12.75" customHeight="1" thickBot="1" x14ac:dyDescent="0.3">
      <c r="A25" s="162" t="s">
        <v>65</v>
      </c>
      <c r="B25" s="163"/>
      <c r="C25" s="163"/>
      <c r="D25" s="223">
        <v>745.53760169754867</v>
      </c>
      <c r="E25" s="223">
        <v>795.36621212661066</v>
      </c>
      <c r="F25" s="223">
        <v>845.19482255567254</v>
      </c>
      <c r="G25" s="223">
        <v>901.7276504215057</v>
      </c>
      <c r="H25" s="223">
        <v>958.26047828733908</v>
      </c>
      <c r="I25" s="223">
        <v>1057.18030121418</v>
      </c>
    </row>
    <row r="26" spans="1:10" ht="13.8" thickBot="1" x14ac:dyDescent="0.3">
      <c r="A26" s="482" t="s">
        <v>66</v>
      </c>
      <c r="B26" s="482"/>
      <c r="C26" s="482"/>
      <c r="D26" s="224">
        <f t="shared" ref="D26:I26" si="0">SUM(D9:D25)</f>
        <v>12917.58007839222</v>
      </c>
      <c r="E26" s="224">
        <f t="shared" si="0"/>
        <v>13780.937022356989</v>
      </c>
      <c r="F26" s="224">
        <f t="shared" si="0"/>
        <v>14644.293966321755</v>
      </c>
      <c r="G26" s="224">
        <f t="shared" si="0"/>
        <v>15623.811738935887</v>
      </c>
      <c r="H26" s="224">
        <f t="shared" si="0"/>
        <v>16603.329511550019</v>
      </c>
      <c r="I26" s="224">
        <f t="shared" si="0"/>
        <v>18317.266851649769</v>
      </c>
    </row>
    <row r="27" spans="1:10" ht="13.8" thickBot="1" x14ac:dyDescent="0.3">
      <c r="A27" s="164"/>
      <c r="B27" s="165"/>
      <c r="C27" s="165"/>
      <c r="D27" s="225"/>
      <c r="E27" s="225"/>
      <c r="F27" s="225"/>
      <c r="G27" s="225"/>
      <c r="H27" s="225"/>
      <c r="I27" s="225"/>
    </row>
    <row r="28" spans="1:10" ht="13.5" customHeight="1" thickBot="1" x14ac:dyDescent="0.3">
      <c r="A28" s="148" t="s">
        <v>67</v>
      </c>
      <c r="B28" s="150"/>
      <c r="C28" s="150"/>
      <c r="D28" s="224">
        <v>6774.08</v>
      </c>
      <c r="E28" s="224">
        <v>6774.08</v>
      </c>
      <c r="F28" s="224">
        <v>6774.08</v>
      </c>
      <c r="G28" s="224">
        <v>6774.08</v>
      </c>
      <c r="H28" s="224">
        <v>6774.08</v>
      </c>
      <c r="I28" s="224">
        <v>6774.08</v>
      </c>
      <c r="J28" s="15"/>
    </row>
    <row r="29" spans="1:10" ht="13.8" thickBot="1" x14ac:dyDescent="0.3">
      <c r="A29" s="164"/>
      <c r="B29" s="165"/>
      <c r="C29" s="165"/>
      <c r="D29" s="225"/>
      <c r="E29" s="225"/>
      <c r="F29" s="225"/>
      <c r="G29" s="225"/>
      <c r="H29" s="225"/>
      <c r="I29" s="225"/>
    </row>
    <row r="30" spans="1:10" ht="13.8" thickBot="1" x14ac:dyDescent="0.3">
      <c r="A30" s="148" t="s">
        <v>68</v>
      </c>
      <c r="B30" s="150"/>
      <c r="C30" s="150"/>
      <c r="D30" s="224">
        <f>D26+D28</f>
        <v>19691.660078392219</v>
      </c>
      <c r="E30" s="224">
        <f t="shared" ref="E30:I30" si="1">E26+E28</f>
        <v>20555.017022356988</v>
      </c>
      <c r="F30" s="224">
        <f t="shared" si="1"/>
        <v>21418.373966321757</v>
      </c>
      <c r="G30" s="224">
        <f t="shared" si="1"/>
        <v>22397.891738935887</v>
      </c>
      <c r="H30" s="224">
        <f t="shared" si="1"/>
        <v>23377.409511550017</v>
      </c>
      <c r="I30" s="224">
        <f t="shared" si="1"/>
        <v>25091.346851649767</v>
      </c>
    </row>
    <row r="31" spans="1:10" ht="13.8" thickBot="1" x14ac:dyDescent="0.3">
      <c r="A31" s="166"/>
      <c r="B31" s="167"/>
      <c r="C31" s="167"/>
      <c r="D31" s="226"/>
      <c r="E31" s="226"/>
      <c r="F31" s="226"/>
      <c r="G31" s="226"/>
      <c r="H31" s="226"/>
      <c r="I31" s="226"/>
    </row>
    <row r="32" spans="1:10" ht="13.8" thickBot="1" x14ac:dyDescent="0.3">
      <c r="A32" s="168" t="s">
        <v>69</v>
      </c>
      <c r="B32" s="149"/>
      <c r="C32" s="149"/>
      <c r="D32" s="227">
        <f t="shared" ref="D32:I32" si="2">D30/D5</f>
        <v>6563.8866927974059</v>
      </c>
      <c r="E32" s="227">
        <f t="shared" si="2"/>
        <v>5872.8620063877106</v>
      </c>
      <c r="F32" s="227">
        <f t="shared" si="2"/>
        <v>5354.5934915804391</v>
      </c>
      <c r="G32" s="227">
        <f t="shared" si="2"/>
        <v>4977.3092753190858</v>
      </c>
      <c r="H32" s="227">
        <f t="shared" si="2"/>
        <v>4675.4819023100035</v>
      </c>
      <c r="I32" s="227">
        <f t="shared" si="2"/>
        <v>4181.8911419416281</v>
      </c>
    </row>
    <row r="33" spans="1:10" ht="13.8" thickBot="1" x14ac:dyDescent="0.3">
      <c r="A33" s="158"/>
      <c r="B33" s="159"/>
      <c r="C33" s="159"/>
      <c r="D33" s="228"/>
      <c r="E33" s="228"/>
      <c r="F33" s="228"/>
      <c r="G33" s="228"/>
      <c r="H33" s="228"/>
      <c r="I33" s="228"/>
    </row>
    <row r="34" spans="1:10" ht="13.8" thickBot="1" x14ac:dyDescent="0.3">
      <c r="A34" s="148" t="s">
        <v>70</v>
      </c>
      <c r="B34" s="150"/>
      <c r="C34" s="150"/>
      <c r="D34" s="229">
        <v>386.29</v>
      </c>
      <c r="E34" s="227">
        <v>386.29</v>
      </c>
      <c r="F34" s="227">
        <v>386.29</v>
      </c>
      <c r="G34" s="227">
        <v>386.29</v>
      </c>
      <c r="H34" s="227">
        <v>386.29</v>
      </c>
      <c r="I34" s="230">
        <v>386.29</v>
      </c>
    </row>
    <row r="35" spans="1:10" ht="13.8" thickBot="1" x14ac:dyDescent="0.3">
      <c r="A35" s="158"/>
      <c r="B35" s="159"/>
      <c r="C35" s="159"/>
      <c r="D35" s="231"/>
      <c r="E35" s="231"/>
      <c r="F35" s="231"/>
      <c r="G35" s="231"/>
      <c r="H35" s="231"/>
      <c r="I35" s="231"/>
    </row>
    <row r="36" spans="1:10" ht="13.8" thickBot="1" x14ac:dyDescent="0.3">
      <c r="A36" s="477" t="s">
        <v>71</v>
      </c>
      <c r="B36" s="477"/>
      <c r="C36" s="477"/>
      <c r="D36" s="232">
        <f>D32+D34</f>
        <v>6950.1766927974058</v>
      </c>
      <c r="E36" s="232">
        <f t="shared" ref="E36:I36" si="3">E32+E34</f>
        <v>6259.1520063877106</v>
      </c>
      <c r="F36" s="232">
        <f t="shared" si="3"/>
        <v>5740.8834915804391</v>
      </c>
      <c r="G36" s="232">
        <f t="shared" si="3"/>
        <v>5363.5992753190858</v>
      </c>
      <c r="H36" s="232">
        <f t="shared" si="3"/>
        <v>5061.7719023100035</v>
      </c>
      <c r="I36" s="232">
        <f t="shared" si="3"/>
        <v>4568.1811419416281</v>
      </c>
    </row>
    <row r="37" spans="1:10" ht="13.8" thickBot="1" x14ac:dyDescent="0.3">
      <c r="A37" s="147" t="s">
        <v>72</v>
      </c>
      <c r="B37" s="147"/>
      <c r="C37" s="147"/>
      <c r="D37" s="232">
        <v>3800</v>
      </c>
      <c r="E37" s="232">
        <v>3800</v>
      </c>
      <c r="F37" s="232">
        <v>3800</v>
      </c>
      <c r="G37" s="232">
        <v>3800</v>
      </c>
      <c r="H37" s="232">
        <v>3800</v>
      </c>
      <c r="I37" s="232">
        <v>3800</v>
      </c>
    </row>
    <row r="38" spans="1:10" ht="13.8" thickBot="1" x14ac:dyDescent="0.3">
      <c r="A38" s="169"/>
      <c r="B38" s="169"/>
      <c r="C38" s="169"/>
      <c r="D38" s="233"/>
      <c r="E38" s="233"/>
      <c r="F38" s="233"/>
      <c r="G38" s="233"/>
      <c r="H38" s="233"/>
      <c r="I38" s="233"/>
    </row>
    <row r="39" spans="1:10" customFormat="1" ht="14.4" x14ac:dyDescent="0.25">
      <c r="A39" s="480" t="s">
        <v>73</v>
      </c>
      <c r="B39" s="481"/>
      <c r="C39" s="481"/>
      <c r="D39" s="236">
        <f t="shared" ref="D39:I39" si="4">D6-D26</f>
        <v>-2707.0500783922216</v>
      </c>
      <c r="E39" s="237">
        <f t="shared" si="4"/>
        <v>-1868.6520223569896</v>
      </c>
      <c r="F39" s="236">
        <f t="shared" si="4"/>
        <v>-1030.2539663217558</v>
      </c>
      <c r="G39" s="237">
        <f t="shared" si="4"/>
        <v>-308.0167389358885</v>
      </c>
      <c r="H39" s="236">
        <f t="shared" si="4"/>
        <v>414.22048844998062</v>
      </c>
      <c r="I39" s="238">
        <f t="shared" si="4"/>
        <v>2103.7931483502289</v>
      </c>
    </row>
    <row r="40" spans="1:10" customFormat="1" ht="15" thickBot="1" x14ac:dyDescent="0.3">
      <c r="A40" s="472" t="s">
        <v>74</v>
      </c>
      <c r="B40" s="473"/>
      <c r="C40" s="473"/>
      <c r="D40" s="239">
        <f t="shared" ref="D40:I40" si="5">D6-D30</f>
        <v>-9481.1300783922197</v>
      </c>
      <c r="E40" s="240">
        <f t="shared" si="5"/>
        <v>-8642.7320223569877</v>
      </c>
      <c r="F40" s="239">
        <f t="shared" si="5"/>
        <v>-7804.3339663217575</v>
      </c>
      <c r="G40" s="240">
        <f t="shared" si="5"/>
        <v>-7082.0967389358884</v>
      </c>
      <c r="H40" s="239">
        <f t="shared" si="5"/>
        <v>-6359.8595115500175</v>
      </c>
      <c r="I40" s="241">
        <f t="shared" si="5"/>
        <v>-4670.2868516497692</v>
      </c>
    </row>
    <row r="41" spans="1:10" ht="14.4" x14ac:dyDescent="0.25">
      <c r="A41" s="170" t="s">
        <v>75</v>
      </c>
      <c r="B41" s="171"/>
      <c r="C41" s="171"/>
      <c r="D41" s="188"/>
      <c r="E41" s="188"/>
      <c r="F41" s="188"/>
      <c r="G41" s="188"/>
      <c r="H41" s="188"/>
      <c r="I41" s="189"/>
      <c r="J41" s="18"/>
    </row>
    <row r="42" spans="1:10" ht="14.4" x14ac:dyDescent="0.25">
      <c r="A42" s="172" t="s">
        <v>76</v>
      </c>
      <c r="B42" s="173"/>
      <c r="C42" s="173"/>
      <c r="D42" s="190"/>
      <c r="E42" s="190"/>
      <c r="F42" s="190"/>
      <c r="G42" s="190"/>
      <c r="H42" s="190"/>
      <c r="I42" s="191"/>
      <c r="J42" s="18"/>
    </row>
    <row r="43" spans="1:10" ht="15" thickBot="1" x14ac:dyDescent="0.3">
      <c r="A43" s="174" t="s">
        <v>77</v>
      </c>
      <c r="B43" s="175"/>
      <c r="C43" s="175"/>
      <c r="D43" s="192"/>
      <c r="E43" s="192"/>
      <c r="F43" s="192"/>
      <c r="G43" s="192"/>
      <c r="H43" s="192"/>
      <c r="I43" s="193"/>
      <c r="J43" s="18"/>
    </row>
    <row r="44" spans="1:10" x14ac:dyDescent="0.25">
      <c r="A44" s="468" t="s">
        <v>78</v>
      </c>
      <c r="B44" s="469"/>
      <c r="C44" s="469"/>
      <c r="D44" s="469"/>
      <c r="E44" s="469"/>
      <c r="F44" s="469"/>
      <c r="G44" s="469"/>
      <c r="H44" s="469"/>
      <c r="I44" s="194"/>
    </row>
    <row r="45" spans="1:10" x14ac:dyDescent="0.25">
      <c r="A45" s="468"/>
      <c r="B45" s="469"/>
      <c r="C45" s="469"/>
      <c r="D45" s="469"/>
      <c r="E45" s="469"/>
      <c r="F45" s="469"/>
      <c r="G45" s="469"/>
      <c r="H45" s="469"/>
      <c r="I45" s="194"/>
    </row>
    <row r="46" spans="1:10" x14ac:dyDescent="0.25">
      <c r="A46" s="468"/>
      <c r="B46" s="469"/>
      <c r="C46" s="469"/>
      <c r="D46" s="469"/>
      <c r="E46" s="469"/>
      <c r="F46" s="469"/>
      <c r="G46" s="469"/>
      <c r="H46" s="469"/>
      <c r="I46" s="194"/>
    </row>
    <row r="47" spans="1:10" ht="13.8" thickBot="1" x14ac:dyDescent="0.3">
      <c r="A47" s="470"/>
      <c r="B47" s="471"/>
      <c r="C47" s="471"/>
      <c r="D47" s="471"/>
      <c r="E47" s="471"/>
      <c r="F47" s="471"/>
      <c r="G47" s="471"/>
      <c r="H47" s="471"/>
      <c r="I47" s="195"/>
    </row>
  </sheetData>
  <mergeCells count="8">
    <mergeCell ref="A44:H47"/>
    <mergeCell ref="A40:C40"/>
    <mergeCell ref="A1:D1"/>
    <mergeCell ref="E1:G1"/>
    <mergeCell ref="A36:C36"/>
    <mergeCell ref="A3:C3"/>
    <mergeCell ref="A39:C39"/>
    <mergeCell ref="A26:C26"/>
  </mergeCells>
  <phoneticPr fontId="0" type="noConversion"/>
  <conditionalFormatting sqref="D39:I40">
    <cfRule type="colorScale" priority="1">
      <colorScale>
        <cfvo type="min"/>
        <cfvo type="percentile" val="50"/>
        <cfvo type="max"/>
        <color rgb="FFF8696B"/>
        <color rgb="FFFFEB84"/>
        <color rgb="FF63BE7B"/>
      </colorScale>
    </cfRule>
    <cfRule type="colorScale" priority="2">
      <colorScale>
        <cfvo type="min"/>
        <cfvo type="percentile" val="50"/>
        <cfvo type="max"/>
        <color rgb="FFF8696B"/>
        <color rgb="FFFFEB84"/>
        <color rgb="FF63BE7B"/>
      </colorScale>
    </cfRule>
    <cfRule type="colorScale" priority="3">
      <colorScale>
        <cfvo type="min"/>
        <cfvo type="percentile" val="50"/>
        <cfvo type="max"/>
        <color rgb="FFF8696B"/>
        <color rgb="FFFFEB84"/>
        <color rgb="FF63BE7B"/>
      </colorScale>
    </cfRule>
  </conditionalFormatting>
  <pageMargins left="0.35433070866141736" right="0.35433070866141736" top="0.59055118110236227" bottom="0.59055118110236227" header="0.31496062992125984" footer="0.31496062992125984"/>
  <pageSetup paperSize="9" scale="66" fitToHeight="0" orientation="portrait" r:id="rId1"/>
  <headerFooter alignWithMargins="0">
    <oddHeader>&amp;F</oddHeader>
    <oddFooter>&amp;A&amp;RPage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5578F-DF05-48FA-8BBD-E3439AFB43A1}">
  <sheetPr>
    <pageSetUpPr fitToPage="1"/>
  </sheetPr>
  <dimension ref="A1:P47"/>
  <sheetViews>
    <sheetView topLeftCell="A7" zoomScale="85" zoomScaleNormal="85" workbookViewId="0">
      <selection activeCell="J14" sqref="J14"/>
    </sheetView>
  </sheetViews>
  <sheetFormatPr defaultColWidth="9.109375" defaultRowHeight="13.2" x14ac:dyDescent="0.25"/>
  <cols>
    <col min="1" max="1" width="41.6640625" style="1" customWidth="1"/>
    <col min="2" max="2" width="13.6640625" style="1" customWidth="1"/>
    <col min="3" max="3" width="36.44140625" style="1" customWidth="1"/>
    <col min="4" max="9" width="11.88671875" style="1" bestFit="1" customWidth="1"/>
    <col min="10" max="10" width="14.6640625" style="1" customWidth="1"/>
    <col min="11" max="13" width="12.6640625" style="1" hidden="1" customWidth="1"/>
    <col min="14" max="26" width="12.6640625" style="1" customWidth="1"/>
    <col min="27" max="16384" width="9.109375" style="1"/>
  </cols>
  <sheetData>
    <row r="1" spans="1:13" ht="33.75" customHeight="1" thickBot="1" x14ac:dyDescent="0.3">
      <c r="A1" s="498" t="s">
        <v>79</v>
      </c>
      <c r="B1" s="499"/>
      <c r="C1" s="499"/>
      <c r="D1" s="499"/>
      <c r="E1" s="500" t="s">
        <v>43</v>
      </c>
      <c r="F1" s="500"/>
      <c r="G1" s="500"/>
      <c r="H1" s="128"/>
      <c r="I1" s="129"/>
    </row>
    <row r="2" spans="1:13" ht="16.2" thickBot="1" x14ac:dyDescent="0.35">
      <c r="A2" s="8"/>
      <c r="B2" s="9"/>
      <c r="C2" s="10"/>
      <c r="D2" s="10"/>
      <c r="E2" s="6"/>
      <c r="F2" s="6"/>
      <c r="G2" s="6"/>
      <c r="H2" s="6"/>
      <c r="I2" s="2"/>
    </row>
    <row r="3" spans="1:13" ht="25.5" customHeight="1" thickBot="1" x14ac:dyDescent="0.3">
      <c r="A3" s="506" t="s">
        <v>44</v>
      </c>
      <c r="B3" s="507"/>
      <c r="C3" s="507"/>
      <c r="D3" s="130"/>
      <c r="E3" s="131">
        <f>'Pryse + Sensatiwiteitsanalise'!B24</f>
        <v>3413.71</v>
      </c>
      <c r="F3" s="130" t="s">
        <v>45</v>
      </c>
      <c r="G3" s="132"/>
      <c r="H3" s="132"/>
      <c r="I3" s="133"/>
    </row>
    <row r="4" spans="1:13" ht="13.8" thickBot="1" x14ac:dyDescent="0.3">
      <c r="A4" s="53"/>
      <c r="B4" s="4"/>
      <c r="C4" s="4"/>
      <c r="D4" s="3"/>
      <c r="E4" s="5"/>
      <c r="F4" s="11"/>
      <c r="G4" s="4"/>
      <c r="H4" s="12"/>
      <c r="I4" s="12"/>
    </row>
    <row r="5" spans="1:13" ht="13.8" thickBot="1" x14ac:dyDescent="0.3">
      <c r="A5" s="56" t="s">
        <v>46</v>
      </c>
      <c r="B5" s="4"/>
      <c r="C5" s="4"/>
      <c r="D5" s="13">
        <v>3</v>
      </c>
      <c r="E5" s="13">
        <v>3.5</v>
      </c>
      <c r="F5" s="13">
        <v>4</v>
      </c>
      <c r="G5" s="13">
        <v>4.5</v>
      </c>
      <c r="H5" s="13">
        <v>5</v>
      </c>
      <c r="I5" s="14">
        <v>6</v>
      </c>
    </row>
    <row r="6" spans="1:13" ht="13.8" thickBot="1" x14ac:dyDescent="0.3">
      <c r="A6" s="134" t="s">
        <v>47</v>
      </c>
      <c r="B6" s="135"/>
      <c r="C6" s="136"/>
      <c r="D6" s="242">
        <v>10696.486500000001</v>
      </c>
      <c r="E6" s="242">
        <v>12479.234250000001</v>
      </c>
      <c r="F6" s="242">
        <v>14261.982</v>
      </c>
      <c r="G6" s="242">
        <v>16044.72975</v>
      </c>
      <c r="H6" s="242">
        <v>17827.477500000001</v>
      </c>
      <c r="I6" s="242">
        <v>21392.973000000002</v>
      </c>
    </row>
    <row r="7" spans="1:13" ht="15" thickBot="1" x14ac:dyDescent="0.35">
      <c r="A7" s="54"/>
      <c r="B7" s="55"/>
      <c r="C7" s="55"/>
      <c r="D7" s="243"/>
      <c r="E7" s="243"/>
      <c r="F7" s="243"/>
      <c r="G7" s="243"/>
      <c r="H7" s="243"/>
      <c r="I7" s="243"/>
      <c r="K7" s="483" t="s">
        <v>80</v>
      </c>
      <c r="L7" s="483"/>
      <c r="M7" s="483"/>
    </row>
    <row r="8" spans="1:13" ht="13.5" customHeight="1" thickBot="1" x14ac:dyDescent="0.35">
      <c r="A8" s="510" t="s">
        <v>48</v>
      </c>
      <c r="B8" s="511"/>
      <c r="C8" s="512"/>
      <c r="D8" s="244"/>
      <c r="E8" s="244"/>
      <c r="F8" s="244"/>
      <c r="G8" s="244"/>
      <c r="H8" s="244"/>
      <c r="I8" s="244"/>
      <c r="K8" s="64" t="s">
        <v>81</v>
      </c>
      <c r="L8" s="64" t="s">
        <v>82</v>
      </c>
      <c r="M8" s="64" t="s">
        <v>83</v>
      </c>
    </row>
    <row r="9" spans="1:13" ht="12.75" customHeight="1" x14ac:dyDescent="0.3">
      <c r="A9" s="57" t="str">
        <f>'W-Mielie '!A9</f>
        <v>Saad/ Seed</v>
      </c>
      <c r="B9" s="60"/>
      <c r="C9" s="60"/>
      <c r="D9" s="245">
        <v>1515.7988087499998</v>
      </c>
      <c r="E9" s="245">
        <v>1515.7988087499998</v>
      </c>
      <c r="F9" s="245">
        <v>1667.3786896249997</v>
      </c>
      <c r="G9" s="245">
        <v>1818.9585704999997</v>
      </c>
      <c r="H9" s="245">
        <v>1970.5384513749996</v>
      </c>
      <c r="I9" s="246">
        <v>2122.1183322499996</v>
      </c>
      <c r="J9" s="113"/>
      <c r="K9" s="65">
        <f>D5</f>
        <v>3</v>
      </c>
      <c r="L9" s="65">
        <f>D26</f>
        <v>13601.204715586358</v>
      </c>
      <c r="M9" s="65">
        <f>D28</f>
        <v>6930.69</v>
      </c>
    </row>
    <row r="10" spans="1:13" ht="12.75" customHeight="1" x14ac:dyDescent="0.3">
      <c r="A10" s="57" t="str">
        <f>'W-Mielie '!A10</f>
        <v>Kunsmis/ Fertiliser</v>
      </c>
      <c r="B10" s="61"/>
      <c r="C10" s="61"/>
      <c r="D10" s="247">
        <v>4093.5699999999997</v>
      </c>
      <c r="E10" s="247">
        <v>4759.165</v>
      </c>
      <c r="F10" s="247">
        <v>5424.76</v>
      </c>
      <c r="G10" s="247">
        <v>6090.3549999999996</v>
      </c>
      <c r="H10" s="247">
        <v>6755.95</v>
      </c>
      <c r="I10" s="247">
        <v>8087.1399999999994</v>
      </c>
      <c r="J10" s="113"/>
      <c r="K10" s="65">
        <f>E5</f>
        <v>3.5</v>
      </c>
      <c r="L10" s="65">
        <f>E26</f>
        <v>14466.90497418935</v>
      </c>
      <c r="M10" s="65">
        <f>E28</f>
        <v>6930.69</v>
      </c>
    </row>
    <row r="11" spans="1:13" ht="12.75" customHeight="1" x14ac:dyDescent="0.3">
      <c r="A11" s="57" t="str">
        <f>'W-Mielie '!A11</f>
        <v>Kalk/ Lime</v>
      </c>
      <c r="B11" s="61"/>
      <c r="C11" s="61"/>
      <c r="D11" s="247">
        <v>800</v>
      </c>
      <c r="E11" s="247">
        <v>800</v>
      </c>
      <c r="F11" s="247">
        <v>800</v>
      </c>
      <c r="G11" s="247">
        <v>800</v>
      </c>
      <c r="H11" s="247">
        <v>800</v>
      </c>
      <c r="I11" s="247">
        <v>800</v>
      </c>
      <c r="J11" s="113"/>
      <c r="K11" s="65">
        <f>F5</f>
        <v>4</v>
      </c>
      <c r="L11" s="65">
        <f>F26</f>
        <v>15508.02802246914</v>
      </c>
      <c r="M11" s="65">
        <f>F28</f>
        <v>6930.69</v>
      </c>
    </row>
    <row r="12" spans="1:13" ht="12.75" customHeight="1" x14ac:dyDescent="0.3">
      <c r="A12" s="57" t="str">
        <f>'W-Mielie '!A12</f>
        <v>Brandstof/ Fuel</v>
      </c>
      <c r="B12" s="61"/>
      <c r="C12" s="61"/>
      <c r="D12" s="247">
        <v>1466.8167679999999</v>
      </c>
      <c r="E12" s="247">
        <v>1499.936768</v>
      </c>
      <c r="F12" s="247">
        <v>1533.0567679999999</v>
      </c>
      <c r="G12" s="247">
        <v>1566.1767679999998</v>
      </c>
      <c r="H12" s="247">
        <v>1599.2967679999999</v>
      </c>
      <c r="I12" s="247">
        <v>1654.496768</v>
      </c>
      <c r="J12" s="113"/>
      <c r="K12" s="65">
        <f>G5</f>
        <v>4.5</v>
      </c>
      <c r="L12" s="65">
        <f>G26</f>
        <v>16549.151070748925</v>
      </c>
      <c r="M12" s="65">
        <f>G28</f>
        <v>6930.69</v>
      </c>
    </row>
    <row r="13" spans="1:13" ht="12.75" customHeight="1" x14ac:dyDescent="0.3">
      <c r="A13" s="57" t="str">
        <f>'W-Mielie '!A13</f>
        <v>Reparasie / Reparation</v>
      </c>
      <c r="B13" s="61"/>
      <c r="C13" s="61"/>
      <c r="D13" s="247">
        <v>1334.2554</v>
      </c>
      <c r="E13" s="247">
        <v>1339.0087333333331</v>
      </c>
      <c r="F13" s="247">
        <v>1343.7620666666667</v>
      </c>
      <c r="G13" s="247">
        <v>1348.5153999999998</v>
      </c>
      <c r="H13" s="247">
        <v>1353.2687333333333</v>
      </c>
      <c r="I13" s="247">
        <v>1362.7754</v>
      </c>
      <c r="J13" s="113"/>
      <c r="K13" s="65">
        <f>H5</f>
        <v>5</v>
      </c>
      <c r="L13" s="65">
        <f>H26</f>
        <v>17590.274119028727</v>
      </c>
      <c r="M13" s="65">
        <f>H28</f>
        <v>6930.69</v>
      </c>
    </row>
    <row r="14" spans="1:13" ht="12.75" customHeight="1" x14ac:dyDescent="0.3">
      <c r="A14" s="57" t="str">
        <f>'W-Mielie '!A14</f>
        <v>Onkruiddoders/ Herbicides</v>
      </c>
      <c r="B14" s="61"/>
      <c r="C14" s="61"/>
      <c r="D14" s="247">
        <v>1195.5540000000001</v>
      </c>
      <c r="E14" s="247">
        <v>1195.5540000000001</v>
      </c>
      <c r="F14" s="247">
        <v>1195.5540000000001</v>
      </c>
      <c r="G14" s="247">
        <v>1195.5540000000001</v>
      </c>
      <c r="H14" s="247">
        <v>1195.5540000000001</v>
      </c>
      <c r="I14" s="247">
        <v>1195.5540000000001</v>
      </c>
      <c r="J14" s="113"/>
      <c r="K14" s="65">
        <f>I5</f>
        <v>6</v>
      </c>
      <c r="L14" s="65">
        <f>I26</f>
        <v>19484.320878081722</v>
      </c>
      <c r="M14" s="65">
        <f>I28</f>
        <v>6930.69</v>
      </c>
    </row>
    <row r="15" spans="1:13" ht="12.75" customHeight="1" x14ac:dyDescent="0.25">
      <c r="A15" s="57" t="str">
        <f>'W-Mielie '!A15</f>
        <v>Plaagdoder/ Pesticides</v>
      </c>
      <c r="B15" s="61"/>
      <c r="C15" s="61"/>
      <c r="D15" s="247">
        <v>579.16499999999996</v>
      </c>
      <c r="E15" s="247">
        <v>579.16499999999996</v>
      </c>
      <c r="F15" s="247">
        <v>579.16499999999996</v>
      </c>
      <c r="G15" s="247">
        <v>579.16499999999996</v>
      </c>
      <c r="H15" s="247">
        <v>579.16499999999996</v>
      </c>
      <c r="I15" s="247">
        <v>579.16499999999996</v>
      </c>
      <c r="J15" s="113"/>
      <c r="K15" s="16"/>
    </row>
    <row r="16" spans="1:13" ht="12.75" customHeight="1" x14ac:dyDescent="0.25">
      <c r="A16" s="57" t="str">
        <f>'W-Mielie '!A16</f>
        <v>Insetversekering/ Input insurance</v>
      </c>
      <c r="B16" s="61"/>
      <c r="C16" s="61"/>
      <c r="D16" s="247"/>
      <c r="E16" s="247"/>
      <c r="F16" s="247"/>
      <c r="G16" s="247"/>
      <c r="H16" s="247"/>
      <c r="I16" s="247"/>
      <c r="J16" s="113"/>
      <c r="K16" s="16"/>
    </row>
    <row r="17" spans="1:16" ht="12.75" customHeight="1" x14ac:dyDescent="0.25">
      <c r="A17" s="57" t="str">
        <f>'W-Mielie '!A17</f>
        <v>Besproeiingskoste / Irrigation cost</v>
      </c>
      <c r="B17" s="61"/>
      <c r="C17" s="61"/>
      <c r="D17" s="247"/>
      <c r="E17" s="247"/>
      <c r="F17" s="247"/>
      <c r="G17" s="247"/>
      <c r="H17" s="247"/>
      <c r="I17" s="247"/>
      <c r="J17" s="113"/>
      <c r="K17" s="16"/>
    </row>
    <row r="18" spans="1:16" ht="12.75" customHeight="1" x14ac:dyDescent="0.25">
      <c r="A18" s="57" t="str">
        <f>'W-Mielie '!A18</f>
        <v>Graanprysverskansing/ Grain Hedging</v>
      </c>
      <c r="B18" s="61"/>
      <c r="C18" s="61"/>
      <c r="D18" s="247">
        <v>1063.6396068855547</v>
      </c>
      <c r="E18" s="247">
        <v>1131.3389836684084</v>
      </c>
      <c r="F18" s="247">
        <v>1212.7567501786648</v>
      </c>
      <c r="G18" s="247">
        <v>1294.1745166889211</v>
      </c>
      <c r="H18" s="247">
        <v>1375.5922831991772</v>
      </c>
      <c r="I18" s="247">
        <v>1523.7102765937905</v>
      </c>
      <c r="J18" s="113"/>
      <c r="K18" s="16"/>
    </row>
    <row r="19" spans="1:16" ht="12.75" customHeight="1" x14ac:dyDescent="0.25">
      <c r="A19" s="57" t="str">
        <f>'W-Mielie '!A19</f>
        <v>Kontrakwerk/ Contract work</v>
      </c>
      <c r="B19" s="61"/>
      <c r="C19" s="61"/>
      <c r="D19" s="247"/>
      <c r="E19" s="247"/>
      <c r="F19" s="247"/>
      <c r="G19" s="247"/>
      <c r="H19" s="247"/>
      <c r="I19" s="247"/>
      <c r="J19" s="113"/>
      <c r="K19" s="16"/>
    </row>
    <row r="20" spans="1:16" ht="12.75" customHeight="1" x14ac:dyDescent="0.25">
      <c r="A20" s="57" t="str">
        <f>'W-Mielie '!A20</f>
        <v>Oesversekering/ Crop insurance</v>
      </c>
      <c r="B20" s="61"/>
      <c r="C20" s="61"/>
      <c r="D20" s="247">
        <v>267.41216250000002</v>
      </c>
      <c r="E20" s="247">
        <v>311.98085625000004</v>
      </c>
      <c r="F20" s="247">
        <v>356.54955000000001</v>
      </c>
      <c r="G20" s="247">
        <v>401.11824375000003</v>
      </c>
      <c r="H20" s="247">
        <v>445.68693750000006</v>
      </c>
      <c r="I20" s="247">
        <v>534.82432500000004</v>
      </c>
      <c r="J20" s="113"/>
      <c r="K20" s="16"/>
    </row>
    <row r="21" spans="1:16" ht="12.75" customHeight="1" x14ac:dyDescent="0.25">
      <c r="A21" s="57" t="str">
        <f>'W-Mielie '!A21</f>
        <v>Lugspuit/Arial spray</v>
      </c>
      <c r="B21" s="61"/>
      <c r="C21" s="61"/>
      <c r="D21" s="247">
        <v>200</v>
      </c>
      <c r="E21" s="247">
        <v>200</v>
      </c>
      <c r="F21" s="247">
        <v>200</v>
      </c>
      <c r="G21" s="247">
        <v>200</v>
      </c>
      <c r="H21" s="247">
        <v>200</v>
      </c>
      <c r="I21" s="247">
        <v>200</v>
      </c>
      <c r="J21" s="113"/>
      <c r="K21" s="16"/>
    </row>
    <row r="22" spans="1:16" ht="12.75" customHeight="1" x14ac:dyDescent="0.25">
      <c r="A22" s="57" t="str">
        <f>'W-Mielie '!A22</f>
        <v>Losarbeid/ Casual labour</v>
      </c>
      <c r="B22" s="61"/>
      <c r="C22" s="61"/>
      <c r="D22" s="247">
        <v>300</v>
      </c>
      <c r="E22" s="247">
        <v>300</v>
      </c>
      <c r="F22" s="247">
        <v>300</v>
      </c>
      <c r="G22" s="247">
        <v>300</v>
      </c>
      <c r="H22" s="247">
        <v>300</v>
      </c>
      <c r="I22" s="247">
        <v>300</v>
      </c>
      <c r="J22" s="113"/>
      <c r="K22" s="16"/>
      <c r="P22" s="114"/>
    </row>
    <row r="23" spans="1:16" ht="12.75" customHeight="1" x14ac:dyDescent="0.25">
      <c r="A23" s="57" t="str">
        <f>'W-Mielie '!A23</f>
        <v>Droogkoste/ Drying costs</v>
      </c>
      <c r="B23" s="61"/>
      <c r="C23" s="61"/>
      <c r="D23" s="247"/>
      <c r="E23" s="247"/>
      <c r="F23" s="247"/>
      <c r="G23" s="247"/>
      <c r="H23" s="247"/>
      <c r="I23" s="247"/>
      <c r="J23" s="113"/>
      <c r="K23" s="16"/>
    </row>
    <row r="24" spans="1:16" ht="12.75" customHeight="1" x14ac:dyDescent="0.25">
      <c r="A24" s="57" t="str">
        <f>'W-Mielie '!A24</f>
        <v>Verpakking en Pakmateriaal/ Packaging and packing materials</v>
      </c>
      <c r="B24" s="61"/>
      <c r="C24" s="61"/>
      <c r="D24" s="247"/>
      <c r="E24" s="247"/>
      <c r="F24" s="247"/>
      <c r="G24" s="247"/>
      <c r="H24" s="247"/>
      <c r="I24" s="247"/>
      <c r="J24" s="113"/>
      <c r="K24" s="16"/>
    </row>
    <row r="25" spans="1:16" ht="13.8" thickBot="1" x14ac:dyDescent="0.3">
      <c r="A25" s="57" t="str">
        <f>'W-Mielie '!A25</f>
        <v>Produksiekrediet rente (R/ha)/ Interest on production (R/ha)</v>
      </c>
      <c r="B25" s="61"/>
      <c r="C25" s="61"/>
      <c r="D25" s="247">
        <v>784.99296945080278</v>
      </c>
      <c r="E25" s="247">
        <v>834.9568241876068</v>
      </c>
      <c r="F25" s="247">
        <v>895.04519799880779</v>
      </c>
      <c r="G25" s="247">
        <v>955.1335718100089</v>
      </c>
      <c r="H25" s="247">
        <v>1015.2219456212101</v>
      </c>
      <c r="I25" s="248">
        <v>1124.5367762379321</v>
      </c>
      <c r="J25" s="113"/>
      <c r="K25" s="16"/>
    </row>
    <row r="26" spans="1:16" s="169" customFormat="1" ht="13.8" thickBot="1" x14ac:dyDescent="0.3">
      <c r="A26" s="513" t="s">
        <v>66</v>
      </c>
      <c r="B26" s="514"/>
      <c r="C26" s="515"/>
      <c r="D26" s="249">
        <f>SUM(D9:D25)</f>
        <v>13601.204715586358</v>
      </c>
      <c r="E26" s="249">
        <f t="shared" ref="E26:I26" si="0">SUM(E9:E25)</f>
        <v>14466.90497418935</v>
      </c>
      <c r="F26" s="249">
        <f t="shared" si="0"/>
        <v>15508.02802246914</v>
      </c>
      <c r="G26" s="249">
        <f t="shared" si="0"/>
        <v>16549.151070748925</v>
      </c>
      <c r="H26" s="249">
        <f t="shared" si="0"/>
        <v>17590.274119028727</v>
      </c>
      <c r="I26" s="249">
        <f t="shared" si="0"/>
        <v>19484.320878081722</v>
      </c>
    </row>
    <row r="27" spans="1:16" ht="13.8" thickBot="1" x14ac:dyDescent="0.3">
      <c r="A27" s="62"/>
      <c r="B27" s="63"/>
      <c r="C27" s="63"/>
      <c r="D27" s="250"/>
      <c r="E27" s="250"/>
      <c r="F27" s="250"/>
      <c r="G27" s="250"/>
      <c r="H27" s="250"/>
      <c r="I27" s="250"/>
    </row>
    <row r="28" spans="1:16" ht="13.5" customHeight="1" thickBot="1" x14ac:dyDescent="0.3">
      <c r="A28" s="516" t="s">
        <v>67</v>
      </c>
      <c r="B28" s="517"/>
      <c r="C28" s="518"/>
      <c r="D28" s="251">
        <v>6930.69</v>
      </c>
      <c r="E28" s="252">
        <v>6930.69</v>
      </c>
      <c r="F28" s="252">
        <v>6930.69</v>
      </c>
      <c r="G28" s="252">
        <v>6930.69</v>
      </c>
      <c r="H28" s="252">
        <v>6930.69</v>
      </c>
      <c r="I28" s="252">
        <v>6930.69</v>
      </c>
    </row>
    <row r="29" spans="1:16" ht="13.8" thickBot="1" x14ac:dyDescent="0.3">
      <c r="A29" s="62"/>
      <c r="B29" s="63"/>
      <c r="C29" s="63"/>
      <c r="D29" s="250"/>
      <c r="E29" s="250"/>
      <c r="F29" s="250"/>
      <c r="G29" s="250"/>
      <c r="H29" s="250"/>
      <c r="I29" s="250"/>
    </row>
    <row r="30" spans="1:16" ht="13.8" thickBot="1" x14ac:dyDescent="0.3">
      <c r="A30" s="484" t="s">
        <v>68</v>
      </c>
      <c r="B30" s="485"/>
      <c r="C30" s="486"/>
      <c r="D30" s="253">
        <f>D26+D28</f>
        <v>20531.894715586357</v>
      </c>
      <c r="E30" s="253">
        <f t="shared" ref="E30:I30" si="1">E26+E28</f>
        <v>21397.594974189349</v>
      </c>
      <c r="F30" s="253">
        <f t="shared" si="1"/>
        <v>22438.71802246914</v>
      </c>
      <c r="G30" s="253">
        <f t="shared" si="1"/>
        <v>23479.841070748924</v>
      </c>
      <c r="H30" s="253">
        <f t="shared" si="1"/>
        <v>24520.964119028726</v>
      </c>
      <c r="I30" s="253">
        <f t="shared" si="1"/>
        <v>26415.010878081721</v>
      </c>
    </row>
    <row r="31" spans="1:16" ht="13.8" thickBot="1" x14ac:dyDescent="0.3">
      <c r="A31" s="58"/>
      <c r="B31" s="59"/>
      <c r="C31" s="59"/>
      <c r="D31" s="254"/>
      <c r="E31" s="254"/>
      <c r="F31" s="254"/>
      <c r="G31" s="254"/>
      <c r="H31" s="254"/>
      <c r="I31" s="254"/>
    </row>
    <row r="32" spans="1:16" ht="13.8" thickBot="1" x14ac:dyDescent="0.3">
      <c r="A32" s="484" t="s">
        <v>69</v>
      </c>
      <c r="B32" s="501"/>
      <c r="C32" s="502"/>
      <c r="D32" s="253">
        <f>D30/D5</f>
        <v>6843.964905195452</v>
      </c>
      <c r="E32" s="253">
        <f t="shared" ref="E32:I32" si="2">E30/E5</f>
        <v>6113.5985640540994</v>
      </c>
      <c r="F32" s="253">
        <f t="shared" si="2"/>
        <v>5609.679505617285</v>
      </c>
      <c r="G32" s="253">
        <f t="shared" si="2"/>
        <v>5217.7424601664279</v>
      </c>
      <c r="H32" s="253">
        <f t="shared" si="2"/>
        <v>4904.1928238057453</v>
      </c>
      <c r="I32" s="253">
        <f t="shared" si="2"/>
        <v>4402.5018130136204</v>
      </c>
    </row>
    <row r="33" spans="1:16" ht="13.8" thickBot="1" x14ac:dyDescent="0.3">
      <c r="A33" s="54"/>
      <c r="B33" s="55"/>
      <c r="C33" s="55"/>
      <c r="D33" s="254"/>
      <c r="E33" s="254"/>
      <c r="F33" s="254"/>
      <c r="G33" s="254"/>
      <c r="H33" s="254"/>
      <c r="I33" s="254"/>
    </row>
    <row r="34" spans="1:16" ht="13.8" thickBot="1" x14ac:dyDescent="0.3">
      <c r="A34" s="137" t="s">
        <v>70</v>
      </c>
      <c r="B34" s="135"/>
      <c r="C34" s="135"/>
      <c r="D34" s="253">
        <v>386.29</v>
      </c>
      <c r="E34" s="253">
        <v>386.29</v>
      </c>
      <c r="F34" s="253">
        <v>386.29</v>
      </c>
      <c r="G34" s="253">
        <v>386.29</v>
      </c>
      <c r="H34" s="253">
        <v>386.29</v>
      </c>
      <c r="I34" s="253">
        <v>386.29</v>
      </c>
      <c r="P34" s="115"/>
    </row>
    <row r="35" spans="1:16" ht="13.8" thickBot="1" x14ac:dyDescent="0.3">
      <c r="A35" s="54"/>
      <c r="B35" s="55"/>
      <c r="C35" s="55"/>
      <c r="D35" s="254"/>
      <c r="E35" s="254"/>
      <c r="F35" s="254"/>
      <c r="G35" s="254"/>
      <c r="H35" s="254"/>
      <c r="I35" s="254"/>
      <c r="P35" s="7"/>
    </row>
    <row r="36" spans="1:16" ht="13.5" customHeight="1" thickBot="1" x14ac:dyDescent="0.3">
      <c r="A36" s="503" t="s">
        <v>71</v>
      </c>
      <c r="B36" s="504"/>
      <c r="C36" s="505"/>
      <c r="D36" s="255">
        <f>D32+D34</f>
        <v>7230.254905195452</v>
      </c>
      <c r="E36" s="255">
        <f>E32+E34</f>
        <v>6499.8885640540993</v>
      </c>
      <c r="F36" s="255">
        <f t="shared" ref="F36:I36" si="3">F32+F34</f>
        <v>5995.969505617285</v>
      </c>
      <c r="G36" s="255">
        <f t="shared" si="3"/>
        <v>5604.0324601664279</v>
      </c>
      <c r="H36" s="255">
        <f t="shared" si="3"/>
        <v>5290.4828238057453</v>
      </c>
      <c r="I36" s="255">
        <f t="shared" si="3"/>
        <v>4788.7918130136204</v>
      </c>
    </row>
    <row r="37" spans="1:16" ht="13.8" thickBot="1" x14ac:dyDescent="0.3">
      <c r="A37" s="143" t="s">
        <v>72</v>
      </c>
      <c r="B37" s="144"/>
      <c r="C37" s="145"/>
      <c r="D37" s="255">
        <v>3800</v>
      </c>
      <c r="E37" s="255">
        <v>3800</v>
      </c>
      <c r="F37" s="255">
        <v>3800</v>
      </c>
      <c r="G37" s="255">
        <v>3800</v>
      </c>
      <c r="H37" s="255">
        <v>3800</v>
      </c>
      <c r="I37" s="255">
        <v>3800</v>
      </c>
    </row>
    <row r="38" spans="1:16" ht="13.8" thickBot="1" x14ac:dyDescent="0.3">
      <c r="A38" s="146"/>
      <c r="B38" s="146"/>
      <c r="C38" s="146"/>
      <c r="D38" s="256"/>
      <c r="E38" s="256"/>
      <c r="F38" s="256"/>
      <c r="G38" s="256"/>
      <c r="H38" s="256"/>
      <c r="I38" s="256"/>
    </row>
    <row r="39" spans="1:16" customFormat="1" ht="14.4" x14ac:dyDescent="0.3">
      <c r="A39" s="508" t="s">
        <v>73</v>
      </c>
      <c r="B39" s="509"/>
      <c r="C39" s="509"/>
      <c r="D39" s="257">
        <f t="shared" ref="D39:I39" si="4">D6-D26</f>
        <v>-2904.7182155863575</v>
      </c>
      <c r="E39" s="258">
        <f t="shared" si="4"/>
        <v>-1987.6707241893491</v>
      </c>
      <c r="F39" s="257">
        <f t="shared" si="4"/>
        <v>-1246.0460224691396</v>
      </c>
      <c r="G39" s="258">
        <f t="shared" si="4"/>
        <v>-504.4213207489247</v>
      </c>
      <c r="H39" s="257">
        <f t="shared" si="4"/>
        <v>237.20338097127387</v>
      </c>
      <c r="I39" s="259">
        <f t="shared" si="4"/>
        <v>1908.6521219182796</v>
      </c>
    </row>
    <row r="40" spans="1:16" customFormat="1" ht="15" thickBot="1" x14ac:dyDescent="0.35">
      <c r="A40" s="496" t="s">
        <v>74</v>
      </c>
      <c r="B40" s="497"/>
      <c r="C40" s="497"/>
      <c r="D40" s="260">
        <f t="shared" ref="D40:I40" si="5">D6-D30</f>
        <v>-9835.4082155863562</v>
      </c>
      <c r="E40" s="261">
        <f t="shared" si="5"/>
        <v>-8918.3607241893478</v>
      </c>
      <c r="F40" s="260">
        <f t="shared" si="5"/>
        <v>-8176.7360224691402</v>
      </c>
      <c r="G40" s="261">
        <f t="shared" si="5"/>
        <v>-7435.1113207489234</v>
      </c>
      <c r="H40" s="260">
        <f t="shared" si="5"/>
        <v>-6693.4866190287248</v>
      </c>
      <c r="I40" s="262">
        <f t="shared" si="5"/>
        <v>-5022.0378780817191</v>
      </c>
    </row>
    <row r="41" spans="1:16" ht="14.4" x14ac:dyDescent="0.25">
      <c r="A41" s="44" t="s">
        <v>75</v>
      </c>
      <c r="B41" s="45"/>
      <c r="C41" s="45"/>
      <c r="D41" s="45"/>
      <c r="E41" s="45"/>
      <c r="F41" s="45"/>
      <c r="G41" s="45"/>
      <c r="H41" s="46"/>
      <c r="I41" s="18"/>
      <c r="J41" s="18"/>
    </row>
    <row r="42" spans="1:16" ht="14.4" x14ac:dyDescent="0.25">
      <c r="A42" s="47" t="s">
        <v>76</v>
      </c>
      <c r="B42" s="48"/>
      <c r="C42" s="48"/>
      <c r="D42" s="48"/>
      <c r="E42" s="48"/>
      <c r="F42" s="48"/>
      <c r="G42" s="48"/>
      <c r="H42" s="49"/>
      <c r="I42" s="18"/>
      <c r="J42" s="18"/>
    </row>
    <row r="43" spans="1:16" ht="15" thickBot="1" x14ac:dyDescent="0.3">
      <c r="A43" s="50" t="s">
        <v>77</v>
      </c>
      <c r="B43" s="51"/>
      <c r="C43" s="51"/>
      <c r="D43" s="51"/>
      <c r="E43" s="51"/>
      <c r="F43" s="51"/>
      <c r="G43" s="51"/>
      <c r="H43" s="52"/>
      <c r="I43" s="18"/>
      <c r="J43" s="18"/>
    </row>
    <row r="44" spans="1:16" x14ac:dyDescent="0.25">
      <c r="A44" s="487" t="s">
        <v>78</v>
      </c>
      <c r="B44" s="488"/>
      <c r="C44" s="488"/>
      <c r="D44" s="488"/>
      <c r="E44" s="488"/>
      <c r="F44" s="488"/>
      <c r="G44" s="488"/>
      <c r="H44" s="489"/>
    </row>
    <row r="45" spans="1:16" x14ac:dyDescent="0.25">
      <c r="A45" s="490"/>
      <c r="B45" s="491"/>
      <c r="C45" s="491"/>
      <c r="D45" s="491"/>
      <c r="E45" s="491"/>
      <c r="F45" s="491"/>
      <c r="G45" s="491"/>
      <c r="H45" s="492"/>
    </row>
    <row r="46" spans="1:16" x14ac:dyDescent="0.25">
      <c r="A46" s="490"/>
      <c r="B46" s="491"/>
      <c r="C46" s="491"/>
      <c r="D46" s="491"/>
      <c r="E46" s="491"/>
      <c r="F46" s="491"/>
      <c r="G46" s="491"/>
      <c r="H46" s="492"/>
    </row>
    <row r="47" spans="1:16" ht="13.8" thickBot="1" x14ac:dyDescent="0.3">
      <c r="A47" s="493"/>
      <c r="B47" s="494"/>
      <c r="C47" s="494"/>
      <c r="D47" s="494"/>
      <c r="E47" s="494"/>
      <c r="F47" s="494"/>
      <c r="G47" s="494"/>
      <c r="H47" s="495"/>
    </row>
  </sheetData>
  <mergeCells count="13">
    <mergeCell ref="K7:M7"/>
    <mergeCell ref="A30:C30"/>
    <mergeCell ref="A44:H47"/>
    <mergeCell ref="A40:C40"/>
    <mergeCell ref="A1:D1"/>
    <mergeCell ref="E1:G1"/>
    <mergeCell ref="A32:C32"/>
    <mergeCell ref="A36:C36"/>
    <mergeCell ref="A3:C3"/>
    <mergeCell ref="A39:C39"/>
    <mergeCell ref="A8:C8"/>
    <mergeCell ref="A26:C26"/>
    <mergeCell ref="A28:C28"/>
  </mergeCells>
  <phoneticPr fontId="0" type="noConversion"/>
  <conditionalFormatting sqref="D39:I40">
    <cfRule type="colorScale" priority="1">
      <colorScale>
        <cfvo type="min"/>
        <cfvo type="percentile" val="50"/>
        <cfvo type="max"/>
        <color rgb="FFF8696B"/>
        <color rgb="FFFFEB84"/>
        <color rgb="FF63BE7B"/>
      </colorScale>
    </cfRule>
    <cfRule type="colorScale" priority="2">
      <colorScale>
        <cfvo type="min"/>
        <cfvo type="percentile" val="50"/>
        <cfvo type="max"/>
        <color rgb="FFF8696B"/>
        <color rgb="FFFFEB84"/>
        <color rgb="FF63BE7B"/>
      </colorScale>
    </cfRule>
    <cfRule type="colorScale" priority="3">
      <colorScale>
        <cfvo type="min"/>
        <cfvo type="percentile" val="50"/>
        <cfvo type="max"/>
        <color rgb="FFF8696B"/>
        <color rgb="FFFFEB84"/>
        <color rgb="FF63BE7B"/>
      </colorScale>
    </cfRule>
  </conditionalFormatting>
  <pageMargins left="0.35433070866141736" right="0.35433070866141736" top="0.59055118110236227" bottom="0.59055118110236227" header="0.31496062992125984" footer="0.31496062992125984"/>
  <pageSetup paperSize="9" scale="63" fitToHeight="0" orientation="portrait" r:id="rId1"/>
  <headerFooter alignWithMargins="0">
    <oddHeader>&amp;F</oddHeader>
    <oddFooter>&amp;A&amp;RPage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BC01A-E110-4892-9435-423E45477530}">
  <sheetPr>
    <pageSetUpPr fitToPage="1"/>
  </sheetPr>
  <dimension ref="A1:I43"/>
  <sheetViews>
    <sheetView topLeftCell="A13" zoomScale="90" zoomScaleNormal="90" workbookViewId="0">
      <selection activeCell="L37" sqref="L37"/>
    </sheetView>
  </sheetViews>
  <sheetFormatPr defaultColWidth="9.109375" defaultRowHeight="13.2" x14ac:dyDescent="0.25"/>
  <cols>
    <col min="1" max="1" width="41.6640625" style="1" customWidth="1"/>
    <col min="2" max="2" width="12.44140625" style="1" customWidth="1"/>
    <col min="3" max="3" width="36.44140625" style="1" customWidth="1"/>
    <col min="4" max="8" width="11.77734375" style="1" bestFit="1" customWidth="1"/>
    <col min="9" max="9" width="14.44140625" style="1" customWidth="1"/>
    <col min="10" max="21" width="12.6640625" style="1" customWidth="1"/>
    <col min="22" max="16384" width="9.109375" style="1"/>
  </cols>
  <sheetData>
    <row r="1" spans="1:8" ht="32.25" customHeight="1" thickBot="1" x14ac:dyDescent="0.3">
      <c r="A1" s="519" t="s">
        <v>84</v>
      </c>
      <c r="B1" s="520"/>
      <c r="C1" s="520"/>
      <c r="D1" s="520"/>
      <c r="E1" s="500" t="s">
        <v>43</v>
      </c>
      <c r="F1" s="500"/>
      <c r="G1" s="500"/>
      <c r="H1" s="138"/>
    </row>
    <row r="2" spans="1:8" ht="16.2" thickBot="1" x14ac:dyDescent="0.35">
      <c r="A2" s="69"/>
      <c r="B2" s="72"/>
      <c r="C2" s="81"/>
      <c r="D2" s="81"/>
      <c r="E2" s="74"/>
      <c r="F2" s="74"/>
      <c r="G2" s="74"/>
      <c r="H2" s="74"/>
    </row>
    <row r="3" spans="1:8" ht="25.5" customHeight="1" thickBot="1" x14ac:dyDescent="0.3">
      <c r="A3" s="506" t="s">
        <v>44</v>
      </c>
      <c r="B3" s="507"/>
      <c r="C3" s="507"/>
      <c r="D3" s="130"/>
      <c r="E3" s="139">
        <f>'Pryse + Sensatiwiteitsanalise'!B37</f>
        <v>9554.4500000000007</v>
      </c>
      <c r="F3" s="130" t="s">
        <v>45</v>
      </c>
      <c r="G3" s="132"/>
      <c r="H3" s="132"/>
    </row>
    <row r="4" spans="1:8" ht="13.8" thickBot="1" x14ac:dyDescent="0.3">
      <c r="A4" s="70"/>
      <c r="B4" s="83"/>
      <c r="C4" s="83"/>
      <c r="D4" s="80"/>
      <c r="E4" s="67"/>
      <c r="F4" s="76"/>
      <c r="G4" s="79"/>
      <c r="H4" s="2"/>
    </row>
    <row r="5" spans="1:8" ht="13.8" thickBot="1" x14ac:dyDescent="0.3">
      <c r="A5" s="56" t="s">
        <v>46</v>
      </c>
      <c r="B5" s="4"/>
      <c r="C5" s="4"/>
      <c r="D5" s="13">
        <v>1</v>
      </c>
      <c r="E5" s="13">
        <v>1.25</v>
      </c>
      <c r="F5" s="13">
        <v>1.5</v>
      </c>
      <c r="G5" s="13">
        <v>1.75</v>
      </c>
      <c r="H5" s="219">
        <v>2</v>
      </c>
    </row>
    <row r="6" spans="1:8" ht="13.8" thickBot="1" x14ac:dyDescent="0.3">
      <c r="A6" s="134" t="s">
        <v>47</v>
      </c>
      <c r="B6" s="135"/>
      <c r="C6" s="136"/>
      <c r="D6" s="253">
        <v>8654.4500000000007</v>
      </c>
      <c r="E6" s="253">
        <v>10818.0625</v>
      </c>
      <c r="F6" s="253">
        <v>12981.675000000001</v>
      </c>
      <c r="G6" s="253">
        <v>15145.287500000002</v>
      </c>
      <c r="H6" s="253">
        <v>17308.900000000001</v>
      </c>
    </row>
    <row r="7" spans="1:8" ht="13.8" thickBot="1" x14ac:dyDescent="0.3">
      <c r="A7" s="54"/>
      <c r="B7" s="55"/>
      <c r="C7" s="55"/>
      <c r="D7" s="263"/>
      <c r="E7" s="263"/>
      <c r="F7" s="263"/>
      <c r="G7" s="263"/>
      <c r="H7" s="264"/>
    </row>
    <row r="8" spans="1:8" ht="13.8" thickBot="1" x14ac:dyDescent="0.3">
      <c r="A8" s="521" t="s">
        <v>48</v>
      </c>
      <c r="B8" s="522"/>
      <c r="C8" s="523"/>
      <c r="D8" s="265"/>
      <c r="E8" s="265"/>
      <c r="F8" s="265"/>
      <c r="G8" s="265"/>
      <c r="H8" s="265"/>
    </row>
    <row r="9" spans="1:8" x14ac:dyDescent="0.25">
      <c r="A9" s="59" t="str">
        <f>'W-Mielie '!A9</f>
        <v>Saad/ Seed</v>
      </c>
      <c r="B9" s="59"/>
      <c r="C9" s="59"/>
      <c r="D9" s="266">
        <v>713.55880000000002</v>
      </c>
      <c r="E9" s="267">
        <v>832.48526666666658</v>
      </c>
      <c r="F9" s="267">
        <v>951.41173333333325</v>
      </c>
      <c r="G9" s="267">
        <v>951.41173333333325</v>
      </c>
      <c r="H9" s="267">
        <v>1070.3381999999999</v>
      </c>
    </row>
    <row r="10" spans="1:8" x14ac:dyDescent="0.25">
      <c r="A10" s="59" t="str">
        <f>'W-Mielie '!A10</f>
        <v>Kunsmis/ Fertiliser</v>
      </c>
      <c r="B10" s="59"/>
      <c r="C10" s="59"/>
      <c r="D10" s="267">
        <v>1409.33</v>
      </c>
      <c r="E10" s="267">
        <v>1736.6624999999999</v>
      </c>
      <c r="F10" s="267">
        <v>2063.9949999999999</v>
      </c>
      <c r="G10" s="267">
        <v>2391.3274999999999</v>
      </c>
      <c r="H10" s="267">
        <v>2718.66</v>
      </c>
    </row>
    <row r="11" spans="1:8" x14ac:dyDescent="0.25">
      <c r="A11" s="59" t="str">
        <f>'W-Mielie '!A11</f>
        <v>Kalk/ Lime</v>
      </c>
      <c r="B11" s="59"/>
      <c r="C11" s="59"/>
      <c r="D11" s="267">
        <v>800</v>
      </c>
      <c r="E11" s="267">
        <v>800</v>
      </c>
      <c r="F11" s="267">
        <v>800</v>
      </c>
      <c r="G11" s="267">
        <v>800</v>
      </c>
      <c r="H11" s="267">
        <v>800</v>
      </c>
    </row>
    <row r="12" spans="1:8" x14ac:dyDescent="0.25">
      <c r="A12" s="59" t="str">
        <f>'W-Mielie '!A12</f>
        <v>Brandstof/ Fuel</v>
      </c>
      <c r="B12" s="59"/>
      <c r="C12" s="59"/>
      <c r="D12" s="267">
        <v>1303.007468</v>
      </c>
      <c r="E12" s="267">
        <v>1319.567468</v>
      </c>
      <c r="F12" s="267">
        <v>1336.1274679999999</v>
      </c>
      <c r="G12" s="267">
        <v>1352.6874680000001</v>
      </c>
      <c r="H12" s="267">
        <v>1369.247468</v>
      </c>
    </row>
    <row r="13" spans="1:8" x14ac:dyDescent="0.25">
      <c r="A13" s="59" t="str">
        <f>'W-Mielie '!A13</f>
        <v>Reparasie / Reparation</v>
      </c>
      <c r="B13" s="59"/>
      <c r="C13" s="59"/>
      <c r="D13" s="267">
        <v>1218.5687333333333</v>
      </c>
      <c r="E13" s="267">
        <v>1219.7570666666666</v>
      </c>
      <c r="F13" s="267">
        <v>1220.9454000000001</v>
      </c>
      <c r="G13" s="267">
        <v>1222.1337333333333</v>
      </c>
      <c r="H13" s="267">
        <v>1223.3220666666666</v>
      </c>
    </row>
    <row r="14" spans="1:8" x14ac:dyDescent="0.25">
      <c r="A14" s="59" t="str">
        <f>'W-Mielie '!A14</f>
        <v>Onkruiddoders/ Herbicides</v>
      </c>
      <c r="B14" s="59"/>
      <c r="C14" s="59"/>
      <c r="D14" s="267">
        <v>915.178</v>
      </c>
      <c r="E14" s="267">
        <v>915.178</v>
      </c>
      <c r="F14" s="267">
        <v>915.178</v>
      </c>
      <c r="G14" s="267">
        <v>915.178</v>
      </c>
      <c r="H14" s="267">
        <v>915.178</v>
      </c>
    </row>
    <row r="15" spans="1:8" x14ac:dyDescent="0.25">
      <c r="A15" s="59" t="str">
        <f>'W-Mielie '!A15</f>
        <v>Plaagdoder/ Pesticides</v>
      </c>
      <c r="B15" s="59"/>
      <c r="C15" s="59"/>
      <c r="D15" s="267">
        <v>537.18550000000005</v>
      </c>
      <c r="E15" s="267">
        <v>537.18550000000005</v>
      </c>
      <c r="F15" s="267">
        <v>537.18550000000005</v>
      </c>
      <c r="G15" s="267">
        <v>537.18550000000005</v>
      </c>
      <c r="H15" s="267">
        <v>537.18550000000005</v>
      </c>
    </row>
    <row r="16" spans="1:8" x14ac:dyDescent="0.25">
      <c r="A16" s="59" t="str">
        <f>'W-Mielie '!A16</f>
        <v>Insetversekering/ Input insurance</v>
      </c>
      <c r="B16" s="59"/>
      <c r="C16" s="59"/>
      <c r="D16" s="267">
        <v>186.31177500000001</v>
      </c>
      <c r="E16" s="267">
        <v>232.88971875000001</v>
      </c>
      <c r="F16" s="267">
        <v>279.46766249999996</v>
      </c>
      <c r="G16" s="267">
        <v>326.04560625000005</v>
      </c>
      <c r="H16" s="267">
        <v>372.62355000000002</v>
      </c>
    </row>
    <row r="17" spans="1:9" x14ac:dyDescent="0.25">
      <c r="A17" s="59" t="str">
        <f>'W-BT Mielies'!A17</f>
        <v>Besproeiingskoste / Irrigation cost</v>
      </c>
      <c r="B17" s="59"/>
      <c r="C17" s="59"/>
      <c r="D17" s="267"/>
      <c r="E17" s="267"/>
      <c r="F17" s="267"/>
      <c r="G17" s="267"/>
      <c r="H17" s="267"/>
    </row>
    <row r="18" spans="1:9" x14ac:dyDescent="0.25">
      <c r="A18" s="59" t="str">
        <f>'W-Mielie '!A18</f>
        <v>Graanprysverskansing/ Grain Hedging</v>
      </c>
      <c r="B18" s="59"/>
      <c r="C18" s="59"/>
      <c r="D18" s="267">
        <v>317.89019146153532</v>
      </c>
      <c r="E18" s="267">
        <v>341.32443990009017</v>
      </c>
      <c r="F18" s="267">
        <v>364.75868833864496</v>
      </c>
      <c r="G18" s="267">
        <v>383.20159628838741</v>
      </c>
      <c r="H18" s="267">
        <v>406.6358447269422</v>
      </c>
    </row>
    <row r="19" spans="1:9" x14ac:dyDescent="0.25">
      <c r="A19" s="59" t="str">
        <f>'W-Mielie '!A19</f>
        <v>Kontrakwerk/ Contract work</v>
      </c>
      <c r="B19" s="59"/>
      <c r="C19" s="59"/>
      <c r="D19" s="267"/>
      <c r="E19" s="267"/>
      <c r="F19" s="267"/>
      <c r="G19" s="267"/>
      <c r="H19" s="267"/>
    </row>
    <row r="20" spans="1:9" x14ac:dyDescent="0.25">
      <c r="A20" s="59" t="str">
        <f>'W-Mielie '!A20</f>
        <v>Oesversekering/ Crop insurance</v>
      </c>
      <c r="B20" s="59"/>
      <c r="C20" s="59"/>
      <c r="D20" s="267">
        <v>191.08900000000003</v>
      </c>
      <c r="E20" s="267">
        <v>238.86125000000001</v>
      </c>
      <c r="F20" s="267">
        <v>286.63350000000003</v>
      </c>
      <c r="G20" s="267">
        <v>334.40575000000007</v>
      </c>
      <c r="H20" s="267">
        <v>382.17800000000005</v>
      </c>
    </row>
    <row r="21" spans="1:9" x14ac:dyDescent="0.25">
      <c r="A21" s="59" t="str">
        <f>'W-Mielie '!A21</f>
        <v>Lugspuit/Arial spray</v>
      </c>
      <c r="B21" s="59"/>
      <c r="C21" s="59"/>
      <c r="D21" s="267"/>
      <c r="E21" s="267"/>
      <c r="F21" s="267"/>
      <c r="G21" s="267"/>
      <c r="H21" s="267"/>
    </row>
    <row r="22" spans="1:9" x14ac:dyDescent="0.25">
      <c r="A22" s="59" t="str">
        <f>'W-Mielie '!A22</f>
        <v>Losarbeid/ Casual labour</v>
      </c>
      <c r="B22" s="59"/>
      <c r="C22" s="59"/>
      <c r="D22" s="267">
        <v>300</v>
      </c>
      <c r="E22" s="267">
        <v>300</v>
      </c>
      <c r="F22" s="267">
        <v>300</v>
      </c>
      <c r="G22" s="267">
        <v>300</v>
      </c>
      <c r="H22" s="267">
        <v>300</v>
      </c>
    </row>
    <row r="23" spans="1:9" x14ac:dyDescent="0.25">
      <c r="A23" s="59" t="str">
        <f>'W-Mielie '!A23</f>
        <v>Droogkoste/ Drying costs</v>
      </c>
      <c r="B23" s="59"/>
      <c r="C23" s="59"/>
      <c r="D23" s="267"/>
      <c r="E23" s="267"/>
      <c r="F23" s="267"/>
      <c r="G23" s="267"/>
      <c r="H23" s="267"/>
    </row>
    <row r="24" spans="1:9" x14ac:dyDescent="0.25">
      <c r="A24" s="59" t="str">
        <f>'W-Mielie '!A24</f>
        <v>Verpakking en Pakmateriaal/ Packaging and packing materials</v>
      </c>
      <c r="B24" s="59"/>
      <c r="C24" s="59"/>
      <c r="D24" s="267"/>
      <c r="E24" s="267"/>
      <c r="F24" s="267"/>
      <c r="G24" s="267"/>
      <c r="H24" s="267"/>
    </row>
    <row r="25" spans="1:9" ht="13.8" thickBot="1" x14ac:dyDescent="0.3">
      <c r="A25" s="59" t="str">
        <f>'W-Mielie '!A25</f>
        <v>Produksiekrediet rente (R/ha)/ Interest on production (R/ha)</v>
      </c>
      <c r="B25" s="59"/>
      <c r="C25" s="59"/>
      <c r="D25" s="268">
        <v>483.39231740243571</v>
      </c>
      <c r="E25" s="268">
        <v>519.02706161148467</v>
      </c>
      <c r="F25" s="268">
        <v>554.66180582053369</v>
      </c>
      <c r="G25" s="268">
        <v>582.70658434130951</v>
      </c>
      <c r="H25" s="268">
        <v>618.34132855035853</v>
      </c>
    </row>
    <row r="26" spans="1:9" ht="13.8" thickBot="1" x14ac:dyDescent="0.3">
      <c r="A26" s="524" t="s">
        <v>66</v>
      </c>
      <c r="B26" s="525"/>
      <c r="C26" s="525"/>
      <c r="D26" s="269">
        <f>SUM(D9:D25)</f>
        <v>8375.5117851973046</v>
      </c>
      <c r="E26" s="270">
        <f>SUM(E9:E25)</f>
        <v>8992.9382715949087</v>
      </c>
      <c r="F26" s="269">
        <f>SUM(F9:F25)</f>
        <v>9610.3647579925109</v>
      </c>
      <c r="G26" s="269">
        <f>SUM(G9:G25)</f>
        <v>10096.283471546363</v>
      </c>
      <c r="H26" s="269">
        <f>SUM(H9:H25)</f>
        <v>10713.709957943967</v>
      </c>
    </row>
    <row r="27" spans="1:9" ht="13.8" thickBot="1" x14ac:dyDescent="0.3">
      <c r="A27" s="62"/>
      <c r="B27" s="63"/>
      <c r="C27" s="63"/>
      <c r="D27" s="250"/>
      <c r="E27" s="250"/>
      <c r="F27" s="250"/>
      <c r="G27" s="250"/>
      <c r="H27" s="250"/>
    </row>
    <row r="28" spans="1:9" ht="13.8" thickBot="1" x14ac:dyDescent="0.3">
      <c r="A28" s="516" t="s">
        <v>67</v>
      </c>
      <c r="B28" s="517"/>
      <c r="C28" s="518"/>
      <c r="D28" s="251">
        <v>5934.62</v>
      </c>
      <c r="E28" s="252">
        <v>5934.62</v>
      </c>
      <c r="F28" s="252">
        <v>5934.62</v>
      </c>
      <c r="G28" s="252">
        <v>5934.62</v>
      </c>
      <c r="H28" s="252">
        <v>5934.62</v>
      </c>
      <c r="I28" s="15"/>
    </row>
    <row r="29" spans="1:9" ht="13.8" thickBot="1" x14ac:dyDescent="0.3">
      <c r="A29" s="62"/>
      <c r="B29" s="63"/>
      <c r="C29" s="63"/>
      <c r="D29" s="250"/>
      <c r="E29" s="250"/>
      <c r="F29" s="250"/>
      <c r="G29" s="250"/>
      <c r="H29" s="271"/>
    </row>
    <row r="30" spans="1:9" ht="13.8" thickBot="1" x14ac:dyDescent="0.3">
      <c r="A30" s="484" t="s">
        <v>68</v>
      </c>
      <c r="B30" s="485"/>
      <c r="C30" s="486"/>
      <c r="D30" s="253">
        <f>D26+D28</f>
        <v>14310.131785197304</v>
      </c>
      <c r="E30" s="253">
        <f t="shared" ref="E30:H30" si="0">E26+E28</f>
        <v>14927.558271594909</v>
      </c>
      <c r="F30" s="253">
        <f t="shared" si="0"/>
        <v>15544.984757992512</v>
      </c>
      <c r="G30" s="253">
        <f t="shared" si="0"/>
        <v>16030.903471546364</v>
      </c>
      <c r="H30" s="253">
        <f t="shared" si="0"/>
        <v>16648.329957943966</v>
      </c>
    </row>
    <row r="31" spans="1:9" ht="13.8" thickBot="1" x14ac:dyDescent="0.3">
      <c r="A31" s="58"/>
      <c r="B31" s="59"/>
      <c r="C31" s="59"/>
      <c r="D31" s="254"/>
      <c r="E31" s="254"/>
      <c r="F31" s="254"/>
      <c r="G31" s="254"/>
      <c r="H31" s="272"/>
    </row>
    <row r="32" spans="1:9" ht="13.8" thickBot="1" x14ac:dyDescent="0.3">
      <c r="A32" s="484" t="s">
        <v>69</v>
      </c>
      <c r="B32" s="501"/>
      <c r="C32" s="502"/>
      <c r="D32" s="253">
        <f>D30/D5</f>
        <v>14310.131785197304</v>
      </c>
      <c r="E32" s="253">
        <f t="shared" ref="E32:G32" si="1">E30/E5</f>
        <v>11942.046617275928</v>
      </c>
      <c r="F32" s="253">
        <f t="shared" si="1"/>
        <v>10363.323171995007</v>
      </c>
      <c r="G32" s="253">
        <f t="shared" si="1"/>
        <v>9160.5162694550654</v>
      </c>
      <c r="H32" s="253">
        <f>H30/H5</f>
        <v>8324.1649789719831</v>
      </c>
    </row>
    <row r="33" spans="1:9" ht="13.8" thickBot="1" x14ac:dyDescent="0.3">
      <c r="A33" s="54"/>
      <c r="B33" s="55"/>
      <c r="C33" s="55"/>
      <c r="D33" s="254"/>
      <c r="E33" s="254"/>
      <c r="F33" s="254"/>
      <c r="G33" s="254"/>
      <c r="H33" s="272"/>
    </row>
    <row r="34" spans="1:9" ht="13.8" thickBot="1" x14ac:dyDescent="0.3">
      <c r="A34" s="137" t="s">
        <v>70</v>
      </c>
      <c r="B34" s="135"/>
      <c r="C34" s="135"/>
      <c r="D34" s="253">
        <f>'Pryse + Sensatiwiteitsanalise'!$D$5</f>
        <v>445.55</v>
      </c>
      <c r="E34" s="253">
        <f>'Pryse + Sensatiwiteitsanalise'!$D$5</f>
        <v>445.55</v>
      </c>
      <c r="F34" s="253">
        <f>'Pryse + Sensatiwiteitsanalise'!$D$5</f>
        <v>445.55</v>
      </c>
      <c r="G34" s="253">
        <f>'Pryse + Sensatiwiteitsanalise'!$D$5</f>
        <v>445.55</v>
      </c>
      <c r="H34" s="253">
        <f>'Pryse + Sensatiwiteitsanalise'!$D$5</f>
        <v>445.55</v>
      </c>
    </row>
    <row r="35" spans="1:9" ht="13.8" thickBot="1" x14ac:dyDescent="0.3">
      <c r="A35" s="54"/>
      <c r="B35" s="55"/>
      <c r="C35" s="55"/>
      <c r="D35" s="254"/>
      <c r="E35" s="254"/>
      <c r="F35" s="254"/>
      <c r="G35" s="254"/>
      <c r="H35" s="272"/>
    </row>
    <row r="36" spans="1:9" ht="13.8" thickBot="1" x14ac:dyDescent="0.3">
      <c r="A36" s="503" t="s">
        <v>71</v>
      </c>
      <c r="B36" s="504"/>
      <c r="C36" s="505"/>
      <c r="D36" s="255">
        <f>D32+D34</f>
        <v>14755.681785197303</v>
      </c>
      <c r="E36" s="255">
        <f>E32+E34</f>
        <v>12387.596617275927</v>
      </c>
      <c r="F36" s="255">
        <f>F32+F34</f>
        <v>10808.873171995006</v>
      </c>
      <c r="G36" s="255">
        <f>G32+G34</f>
        <v>9606.0662694550647</v>
      </c>
      <c r="H36" s="255">
        <f>H32+H34</f>
        <v>8769.7149789719824</v>
      </c>
    </row>
    <row r="37" spans="1:9" ht="13.8" thickBot="1" x14ac:dyDescent="0.3">
      <c r="A37" s="143" t="s">
        <v>72</v>
      </c>
      <c r="B37" s="144"/>
      <c r="C37" s="145"/>
      <c r="D37" s="255">
        <f>'Pryse + Sensatiwiteitsanalise'!B5</f>
        <v>10000</v>
      </c>
      <c r="E37" s="255">
        <f>$D$37</f>
        <v>10000</v>
      </c>
      <c r="F37" s="255">
        <f>$D$37</f>
        <v>10000</v>
      </c>
      <c r="G37" s="255">
        <f>$D$37</f>
        <v>10000</v>
      </c>
      <c r="H37" s="255">
        <f>$D$37</f>
        <v>10000</v>
      </c>
    </row>
    <row r="38" spans="1:9" ht="13.8" thickBot="1" x14ac:dyDescent="0.3">
      <c r="A38" s="146"/>
      <c r="B38" s="146"/>
      <c r="C38" s="146"/>
      <c r="D38" s="256"/>
      <c r="E38" s="256"/>
      <c r="F38" s="256"/>
      <c r="G38" s="256"/>
      <c r="H38" s="256"/>
    </row>
    <row r="39" spans="1:9" customFormat="1" ht="14.4" x14ac:dyDescent="0.3">
      <c r="A39" s="508" t="s">
        <v>73</v>
      </c>
      <c r="B39" s="509"/>
      <c r="C39" s="509"/>
      <c r="D39" s="257">
        <f>D6-D26</f>
        <v>278.93821480269617</v>
      </c>
      <c r="E39" s="258">
        <f>E6-E26</f>
        <v>1825.1242284050913</v>
      </c>
      <c r="F39" s="257">
        <f>F6-F26</f>
        <v>3371.3102420074902</v>
      </c>
      <c r="G39" s="258">
        <f>G6-G26</f>
        <v>5049.004028453639</v>
      </c>
      <c r="H39" s="257">
        <f>H6-H26</f>
        <v>6595.1900420560341</v>
      </c>
    </row>
    <row r="40" spans="1:9" customFormat="1" ht="15" thickBot="1" x14ac:dyDescent="0.35">
      <c r="A40" s="496" t="s">
        <v>74</v>
      </c>
      <c r="B40" s="497"/>
      <c r="C40" s="497"/>
      <c r="D40" s="260">
        <f>D6-D30</f>
        <v>-5655.6817851973028</v>
      </c>
      <c r="E40" s="261">
        <f>E6-E30</f>
        <v>-4109.4957715949095</v>
      </c>
      <c r="F40" s="260">
        <f>F6-F30</f>
        <v>-2563.3097579925106</v>
      </c>
      <c r="G40" s="261">
        <f>G6-G30</f>
        <v>-885.61597154636183</v>
      </c>
      <c r="H40" s="260">
        <f>H6-H30</f>
        <v>660.57004205603516</v>
      </c>
    </row>
    <row r="41" spans="1:9" ht="14.4" x14ac:dyDescent="0.25">
      <c r="A41" s="44" t="s">
        <v>75</v>
      </c>
      <c r="B41" s="45"/>
      <c r="C41" s="45"/>
      <c r="D41" s="45"/>
      <c r="E41" s="45"/>
      <c r="F41" s="45"/>
      <c r="G41" s="45"/>
      <c r="H41" s="46"/>
      <c r="I41" s="18"/>
    </row>
    <row r="42" spans="1:9" ht="14.4" x14ac:dyDescent="0.25">
      <c r="A42" s="47" t="s">
        <v>76</v>
      </c>
      <c r="B42" s="48"/>
      <c r="C42" s="48"/>
      <c r="D42" s="48"/>
      <c r="E42" s="48"/>
      <c r="F42" s="48"/>
      <c r="G42" s="48"/>
      <c r="H42" s="49"/>
      <c r="I42" s="18"/>
    </row>
    <row r="43" spans="1:9" ht="15" thickBot="1" x14ac:dyDescent="0.3">
      <c r="A43" s="50" t="s">
        <v>77</v>
      </c>
      <c r="B43" s="51"/>
      <c r="C43" s="51"/>
      <c r="D43" s="51"/>
      <c r="E43" s="51"/>
      <c r="F43" s="51"/>
      <c r="G43" s="51"/>
      <c r="H43" s="52"/>
      <c r="I43" s="18"/>
    </row>
  </sheetData>
  <mergeCells count="11">
    <mergeCell ref="A39:C39"/>
    <mergeCell ref="A40:C40"/>
    <mergeCell ref="A1:D1"/>
    <mergeCell ref="E1:G1"/>
    <mergeCell ref="A32:C32"/>
    <mergeCell ref="A36:C36"/>
    <mergeCell ref="A3:C3"/>
    <mergeCell ref="A8:C8"/>
    <mergeCell ref="A26:C26"/>
    <mergeCell ref="A28:C28"/>
    <mergeCell ref="A30:C30"/>
  </mergeCells>
  <phoneticPr fontId="0" type="noConversion"/>
  <conditionalFormatting sqref="D39:H40">
    <cfRule type="colorScale" priority="65">
      <colorScale>
        <cfvo type="min"/>
        <cfvo type="percentile" val="50"/>
        <cfvo type="max"/>
        <color rgb="FFF8696B"/>
        <color rgb="FFFFEB84"/>
        <color rgb="FF63BE7B"/>
      </colorScale>
    </cfRule>
    <cfRule type="colorScale" priority="66">
      <colorScale>
        <cfvo type="min"/>
        <cfvo type="percentile" val="50"/>
        <cfvo type="max"/>
        <color rgb="FFF8696B"/>
        <color rgb="FFFFEB84"/>
        <color rgb="FF63BE7B"/>
      </colorScale>
    </cfRule>
    <cfRule type="colorScale" priority="67">
      <colorScale>
        <cfvo type="min"/>
        <cfvo type="percentile" val="50"/>
        <cfvo type="max"/>
        <color rgb="FFF8696B"/>
        <color rgb="FFFFEB84"/>
        <color rgb="FF63BE7B"/>
      </colorScale>
    </cfRule>
  </conditionalFormatting>
  <pageMargins left="0.35433070866141736" right="0.35433070866141736" top="0.59055118110236227" bottom="0.59055118110236227" header="0.31496062992125984" footer="0.31496062992125984"/>
  <pageSetup paperSize="9" scale="64" fitToHeight="0" orientation="portrait"/>
  <headerFooter alignWithMargins="0">
    <oddHeader>&amp;F</oddHeader>
    <oddFooter>&amp;A&amp;RPage &amp;P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34D61-407E-4817-A7F7-628E06DDD2CC}">
  <sheetPr>
    <pageSetUpPr fitToPage="1"/>
  </sheetPr>
  <dimension ref="A1:I43"/>
  <sheetViews>
    <sheetView zoomScale="85" zoomScaleNormal="85" workbookViewId="0">
      <selection activeCell="J19" sqref="J19"/>
    </sheetView>
  </sheetViews>
  <sheetFormatPr defaultColWidth="9.109375" defaultRowHeight="14.4" x14ac:dyDescent="0.3"/>
  <cols>
    <col min="1" max="1" width="41.6640625" style="328" customWidth="1"/>
    <col min="2" max="2" width="10.6640625" style="328" customWidth="1"/>
    <col min="3" max="3" width="35.6640625" style="328" customWidth="1"/>
    <col min="4" max="8" width="11.88671875" style="328" bestFit="1" customWidth="1"/>
    <col min="9" max="9" width="14.44140625" style="328" customWidth="1"/>
    <col min="10" max="21" width="12.6640625" style="328" customWidth="1"/>
    <col min="22" max="16384" width="9.109375" style="328"/>
  </cols>
  <sheetData>
    <row r="1" spans="1:8" ht="33.75" customHeight="1" thickBot="1" x14ac:dyDescent="0.35">
      <c r="A1" s="532" t="s">
        <v>85</v>
      </c>
      <c r="B1" s="533"/>
      <c r="C1" s="533"/>
      <c r="D1" s="533"/>
      <c r="E1" s="534" t="s">
        <v>43</v>
      </c>
      <c r="F1" s="534"/>
      <c r="G1" s="534"/>
      <c r="H1" s="431"/>
    </row>
    <row r="2" spans="1:8" ht="15" thickBot="1" x14ac:dyDescent="0.35">
      <c r="A2" s="434"/>
      <c r="B2" s="435"/>
      <c r="C2" s="436"/>
      <c r="D2" s="436"/>
      <c r="E2" s="436"/>
      <c r="F2" s="436"/>
      <c r="G2" s="436"/>
      <c r="H2" s="331"/>
    </row>
    <row r="3" spans="1:8" ht="25.5" customHeight="1" thickBot="1" x14ac:dyDescent="0.35">
      <c r="A3" s="541" t="s">
        <v>44</v>
      </c>
      <c r="B3" s="542"/>
      <c r="C3" s="542"/>
      <c r="D3" s="332"/>
      <c r="E3" s="333">
        <f>'Pryse + Sensatiwiteitsanalise'!B50</f>
        <v>7707.59</v>
      </c>
      <c r="F3" s="332" t="s">
        <v>45</v>
      </c>
      <c r="G3" s="334"/>
      <c r="H3" s="334"/>
    </row>
    <row r="4" spans="1:8" ht="15" thickBot="1" x14ac:dyDescent="0.35">
      <c r="A4" s="402"/>
      <c r="B4" s="340"/>
      <c r="C4" s="340"/>
      <c r="D4" s="337"/>
      <c r="E4" s="338"/>
      <c r="F4" s="339"/>
      <c r="G4" s="340"/>
      <c r="H4" s="432"/>
    </row>
    <row r="5" spans="1:8" ht="15" thickBot="1" x14ac:dyDescent="0.35">
      <c r="A5" s="335" t="s">
        <v>46</v>
      </c>
      <c r="B5" s="340"/>
      <c r="C5" s="340"/>
      <c r="D5" s="437">
        <v>1</v>
      </c>
      <c r="E5" s="437">
        <v>1.25</v>
      </c>
      <c r="F5" s="437">
        <v>1.5</v>
      </c>
      <c r="G5" s="437">
        <v>1.75</v>
      </c>
      <c r="H5" s="437">
        <v>2</v>
      </c>
    </row>
    <row r="6" spans="1:8" ht="15" thickBot="1" x14ac:dyDescent="0.35">
      <c r="A6" s="343" t="s">
        <v>47</v>
      </c>
      <c r="B6" s="408"/>
      <c r="C6" s="409"/>
      <c r="D6" s="346">
        <v>7707.59</v>
      </c>
      <c r="E6" s="346">
        <v>9634.4874999999993</v>
      </c>
      <c r="F6" s="346">
        <v>11561.385</v>
      </c>
      <c r="G6" s="346">
        <v>13488.282500000001</v>
      </c>
      <c r="H6" s="346">
        <v>15415.18</v>
      </c>
    </row>
    <row r="7" spans="1:8" ht="15" thickBot="1" x14ac:dyDescent="0.35">
      <c r="A7" s="411"/>
      <c r="B7" s="412"/>
      <c r="C7" s="412"/>
      <c r="D7" s="349"/>
      <c r="E7" s="349"/>
      <c r="F7" s="349"/>
      <c r="G7" s="349"/>
      <c r="H7" s="349"/>
    </row>
    <row r="8" spans="1:8" ht="26.25" customHeight="1" thickBot="1" x14ac:dyDescent="0.35">
      <c r="A8" s="543" t="s">
        <v>48</v>
      </c>
      <c r="B8" s="544"/>
      <c r="C8" s="545"/>
      <c r="D8" s="350"/>
      <c r="E8" s="350"/>
      <c r="F8" s="350"/>
      <c r="G8" s="350"/>
      <c r="H8" s="350"/>
    </row>
    <row r="9" spans="1:8" x14ac:dyDescent="0.3">
      <c r="A9" s="351" t="s">
        <v>86</v>
      </c>
      <c r="B9" s="352"/>
      <c r="C9" s="352"/>
      <c r="D9" s="353">
        <v>1358.0564400000001</v>
      </c>
      <c r="E9" s="353">
        <v>1358.0564400000001</v>
      </c>
      <c r="F9" s="353">
        <v>1358.0564400000001</v>
      </c>
      <c r="G9" s="353">
        <v>1358.0564400000001</v>
      </c>
      <c r="H9" s="353">
        <v>1358.0564400000001</v>
      </c>
    </row>
    <row r="10" spans="1:8" x14ac:dyDescent="0.3">
      <c r="A10" s="355" t="s">
        <v>87</v>
      </c>
      <c r="B10" s="356"/>
      <c r="C10" s="356"/>
      <c r="D10" s="357">
        <v>1568.8</v>
      </c>
      <c r="E10" s="357">
        <v>1936</v>
      </c>
      <c r="F10" s="357">
        <v>2303.1999999999998</v>
      </c>
      <c r="G10" s="357">
        <v>2670.3999999999996</v>
      </c>
      <c r="H10" s="357">
        <v>3037.6</v>
      </c>
    </row>
    <row r="11" spans="1:8" x14ac:dyDescent="0.3">
      <c r="A11" s="355" t="s">
        <v>88</v>
      </c>
      <c r="B11" s="356"/>
      <c r="C11" s="356"/>
      <c r="D11" s="357">
        <v>800</v>
      </c>
      <c r="E11" s="357">
        <v>800</v>
      </c>
      <c r="F11" s="357">
        <v>800</v>
      </c>
      <c r="G11" s="357">
        <v>800</v>
      </c>
      <c r="H11" s="357">
        <v>800</v>
      </c>
    </row>
    <row r="12" spans="1:8" x14ac:dyDescent="0.3">
      <c r="A12" s="355" t="s">
        <v>89</v>
      </c>
      <c r="B12" s="356"/>
      <c r="C12" s="356"/>
      <c r="D12" s="357">
        <v>1340.9607679999999</v>
      </c>
      <c r="E12" s="357">
        <v>1357.5207679999999</v>
      </c>
      <c r="F12" s="357">
        <v>1374.080768</v>
      </c>
      <c r="G12" s="357">
        <v>1390.640768</v>
      </c>
      <c r="H12" s="357">
        <v>1407.2007679999999</v>
      </c>
    </row>
    <row r="13" spans="1:8" x14ac:dyDescent="0.3">
      <c r="A13" s="355" t="s">
        <v>53</v>
      </c>
      <c r="B13" s="356"/>
      <c r="C13" s="356"/>
      <c r="D13" s="357">
        <v>1190.5037333333335</v>
      </c>
      <c r="E13" s="357">
        <v>1191.6920666666667</v>
      </c>
      <c r="F13" s="357">
        <v>1192.8804</v>
      </c>
      <c r="G13" s="357">
        <v>1194.0687333333335</v>
      </c>
      <c r="H13" s="357">
        <v>1195.2570666666666</v>
      </c>
    </row>
    <row r="14" spans="1:8" x14ac:dyDescent="0.3">
      <c r="A14" s="355" t="s">
        <v>90</v>
      </c>
      <c r="B14" s="356"/>
      <c r="C14" s="356"/>
      <c r="D14" s="357">
        <v>579</v>
      </c>
      <c r="E14" s="357">
        <v>579</v>
      </c>
      <c r="F14" s="357">
        <v>579</v>
      </c>
      <c r="G14" s="357">
        <v>579</v>
      </c>
      <c r="H14" s="357">
        <v>579</v>
      </c>
    </row>
    <row r="15" spans="1:8" x14ac:dyDescent="0.3">
      <c r="A15" s="355" t="s">
        <v>91</v>
      </c>
      <c r="B15" s="356"/>
      <c r="C15" s="356"/>
      <c r="D15" s="357">
        <v>845.5</v>
      </c>
      <c r="E15" s="357">
        <v>845.5</v>
      </c>
      <c r="F15" s="357">
        <v>845.5</v>
      </c>
      <c r="G15" s="357">
        <v>845.5</v>
      </c>
      <c r="H15" s="357">
        <v>845.5</v>
      </c>
    </row>
    <row r="16" spans="1:8" x14ac:dyDescent="0.3">
      <c r="A16" s="355" t="s">
        <v>92</v>
      </c>
      <c r="B16" s="356"/>
      <c r="C16" s="356"/>
      <c r="D16" s="357"/>
      <c r="E16" s="357"/>
      <c r="F16" s="357"/>
      <c r="G16" s="357"/>
      <c r="H16" s="357"/>
    </row>
    <row r="17" spans="1:9" x14ac:dyDescent="0.3">
      <c r="A17" s="355" t="str">
        <f>Sonneblom!A17</f>
        <v>Besproeiingskoste / Irrigation cost</v>
      </c>
      <c r="B17" s="356"/>
      <c r="C17" s="356"/>
      <c r="D17" s="357"/>
      <c r="E17" s="357"/>
      <c r="F17" s="357"/>
      <c r="G17" s="357"/>
      <c r="H17" s="357"/>
    </row>
    <row r="18" spans="1:9" x14ac:dyDescent="0.3">
      <c r="A18" s="355" t="s">
        <v>93</v>
      </c>
      <c r="B18" s="356"/>
      <c r="C18" s="356"/>
      <c r="D18" s="357">
        <v>453.90783422558809</v>
      </c>
      <c r="E18" s="357">
        <v>480.95964647915883</v>
      </c>
      <c r="F18" s="357">
        <v>508.01145873272964</v>
      </c>
      <c r="G18" s="357">
        <v>535.06327098630061</v>
      </c>
      <c r="H18" s="357">
        <v>562.11508323987141</v>
      </c>
    </row>
    <row r="19" spans="1:9" x14ac:dyDescent="0.3">
      <c r="A19" s="355" t="s">
        <v>94</v>
      </c>
      <c r="B19" s="356"/>
      <c r="C19" s="356"/>
      <c r="D19" s="357"/>
      <c r="E19" s="357"/>
      <c r="F19" s="357"/>
      <c r="G19" s="357"/>
      <c r="H19" s="357"/>
    </row>
    <row r="20" spans="1:9" x14ac:dyDescent="0.3">
      <c r="A20" s="355" t="s">
        <v>95</v>
      </c>
      <c r="B20" s="356"/>
      <c r="C20" s="356"/>
      <c r="D20" s="357">
        <v>539.5313000000001</v>
      </c>
      <c r="E20" s="357">
        <v>674.41412500000001</v>
      </c>
      <c r="F20" s="357">
        <v>809.29695000000004</v>
      </c>
      <c r="G20" s="357">
        <v>944.17977500000018</v>
      </c>
      <c r="H20" s="357">
        <v>1079.0626000000002</v>
      </c>
    </row>
    <row r="21" spans="1:9" x14ac:dyDescent="0.3">
      <c r="A21" s="355" t="s">
        <v>96</v>
      </c>
      <c r="B21" s="356"/>
      <c r="C21" s="356"/>
      <c r="D21" s="357">
        <v>200</v>
      </c>
      <c r="E21" s="357">
        <v>200</v>
      </c>
      <c r="F21" s="357">
        <v>200</v>
      </c>
      <c r="G21" s="357">
        <v>200</v>
      </c>
      <c r="H21" s="357">
        <v>200</v>
      </c>
    </row>
    <row r="22" spans="1:9" x14ac:dyDescent="0.3">
      <c r="A22" s="355" t="s">
        <v>97</v>
      </c>
      <c r="B22" s="356"/>
      <c r="C22" s="356"/>
      <c r="D22" s="357">
        <v>300</v>
      </c>
      <c r="E22" s="357">
        <v>300</v>
      </c>
      <c r="F22" s="357">
        <v>300</v>
      </c>
      <c r="G22" s="357">
        <v>300</v>
      </c>
      <c r="H22" s="357">
        <v>300</v>
      </c>
    </row>
    <row r="23" spans="1:9" x14ac:dyDescent="0.3">
      <c r="A23" s="355" t="s">
        <v>98</v>
      </c>
      <c r="B23" s="356"/>
      <c r="C23" s="356"/>
      <c r="D23" s="357"/>
      <c r="E23" s="357"/>
      <c r="F23" s="357"/>
      <c r="G23" s="357"/>
      <c r="H23" s="357"/>
    </row>
    <row r="24" spans="1:9" x14ac:dyDescent="0.3">
      <c r="A24" s="355" t="s">
        <v>99</v>
      </c>
      <c r="B24" s="356"/>
      <c r="C24" s="356"/>
      <c r="D24" s="357"/>
      <c r="E24" s="357"/>
      <c r="F24" s="357"/>
      <c r="G24" s="357"/>
      <c r="H24" s="357"/>
    </row>
    <row r="25" spans="1:9" ht="15" thickBot="1" x14ac:dyDescent="0.35">
      <c r="A25" s="355" t="s">
        <v>100</v>
      </c>
      <c r="B25" s="356"/>
      <c r="C25" s="356"/>
      <c r="D25" s="357">
        <v>562.04592962798392</v>
      </c>
      <c r="E25" s="357">
        <v>595.54251157643182</v>
      </c>
      <c r="F25" s="357">
        <v>629.0390935248796</v>
      </c>
      <c r="G25" s="357">
        <v>662.5356754733275</v>
      </c>
      <c r="H25" s="357">
        <v>696.03225742177563</v>
      </c>
    </row>
    <row r="26" spans="1:9" ht="27.75" customHeight="1" thickBot="1" x14ac:dyDescent="0.35">
      <c r="A26" s="535" t="s">
        <v>66</v>
      </c>
      <c r="B26" s="546"/>
      <c r="C26" s="547"/>
      <c r="D26" s="360">
        <f>SUM(D9:D25)</f>
        <v>9738.3060051869052</v>
      </c>
      <c r="E26" s="360">
        <f t="shared" ref="E26:H26" si="0">SUM(E9:E25)</f>
        <v>10318.685557722258</v>
      </c>
      <c r="F26" s="360">
        <f t="shared" si="0"/>
        <v>10899.065110257608</v>
      </c>
      <c r="G26" s="360">
        <f t="shared" si="0"/>
        <v>11479.444662792961</v>
      </c>
      <c r="H26" s="360">
        <f t="shared" si="0"/>
        <v>12059.824215328314</v>
      </c>
    </row>
    <row r="27" spans="1:9" ht="15" thickBot="1" x14ac:dyDescent="0.35">
      <c r="A27" s="361"/>
      <c r="B27" s="362"/>
      <c r="C27" s="362"/>
      <c r="D27" s="363"/>
      <c r="E27" s="363"/>
      <c r="F27" s="363"/>
      <c r="G27" s="363"/>
      <c r="H27" s="363"/>
    </row>
    <row r="28" spans="1:9" ht="13.5" customHeight="1" thickBot="1" x14ac:dyDescent="0.35">
      <c r="A28" s="548" t="s">
        <v>67</v>
      </c>
      <c r="B28" s="549"/>
      <c r="C28" s="550"/>
      <c r="D28" s="364">
        <v>6022.3399999999992</v>
      </c>
      <c r="E28" s="365">
        <v>6022.3399999999992</v>
      </c>
      <c r="F28" s="365">
        <v>6022.3399999999992</v>
      </c>
      <c r="G28" s="365">
        <v>6022.3399999999992</v>
      </c>
      <c r="H28" s="365">
        <v>6022.3399999999992</v>
      </c>
      <c r="I28" s="366"/>
    </row>
    <row r="29" spans="1:9" ht="15" thickBot="1" x14ac:dyDescent="0.35">
      <c r="A29" s="361"/>
      <c r="B29" s="362"/>
      <c r="C29" s="362"/>
      <c r="D29" s="363"/>
      <c r="E29" s="363"/>
      <c r="F29" s="363"/>
      <c r="G29" s="363"/>
      <c r="H29" s="363"/>
    </row>
    <row r="30" spans="1:9" ht="15" thickBot="1" x14ac:dyDescent="0.35">
      <c r="A30" s="535" t="s">
        <v>68</v>
      </c>
      <c r="B30" s="546"/>
      <c r="C30" s="547"/>
      <c r="D30" s="360">
        <f>D26+D28</f>
        <v>15760.646005186903</v>
      </c>
      <c r="E30" s="360">
        <f t="shared" ref="E30:H30" si="1">E26+E28</f>
        <v>16341.025557722256</v>
      </c>
      <c r="F30" s="360">
        <f t="shared" si="1"/>
        <v>16921.405110257609</v>
      </c>
      <c r="G30" s="360">
        <f t="shared" si="1"/>
        <v>17501.784662792961</v>
      </c>
      <c r="H30" s="360">
        <f t="shared" si="1"/>
        <v>18082.164215328314</v>
      </c>
    </row>
    <row r="31" spans="1:9" ht="15" thickBot="1" x14ac:dyDescent="0.35">
      <c r="A31" s="347"/>
      <c r="B31" s="348"/>
      <c r="C31" s="348"/>
      <c r="D31" s="367"/>
      <c r="E31" s="367"/>
      <c r="F31" s="367"/>
      <c r="G31" s="367"/>
      <c r="H31" s="367"/>
    </row>
    <row r="32" spans="1:9" ht="15" thickBot="1" x14ac:dyDescent="0.35">
      <c r="A32" s="535" t="s">
        <v>69</v>
      </c>
      <c r="B32" s="536"/>
      <c r="C32" s="537"/>
      <c r="D32" s="360">
        <f>D26/D5</f>
        <v>9738.3060051869052</v>
      </c>
      <c r="E32" s="360">
        <f t="shared" ref="E32:H32" si="2">E26/E5</f>
        <v>8254.9484461778065</v>
      </c>
      <c r="F32" s="360">
        <f t="shared" si="2"/>
        <v>7266.0434068384056</v>
      </c>
      <c r="G32" s="360">
        <f t="shared" si="2"/>
        <v>6559.6826644531202</v>
      </c>
      <c r="H32" s="360">
        <f t="shared" si="2"/>
        <v>6029.9121076641568</v>
      </c>
    </row>
    <row r="33" spans="1:9" ht="15" thickBot="1" x14ac:dyDescent="0.35">
      <c r="A33" s="411"/>
      <c r="B33" s="412"/>
      <c r="C33" s="412"/>
      <c r="D33" s="367"/>
      <c r="E33" s="367"/>
      <c r="F33" s="367"/>
      <c r="G33" s="367"/>
      <c r="H33" s="367"/>
    </row>
    <row r="34" spans="1:9" ht="15" thickBot="1" x14ac:dyDescent="0.35">
      <c r="A34" s="423" t="s">
        <v>70</v>
      </c>
      <c r="B34" s="408"/>
      <c r="C34" s="408"/>
      <c r="D34" s="360">
        <f>'Pryse + Sensatiwiteitsanalise'!$D$6</f>
        <v>192.41</v>
      </c>
      <c r="E34" s="360">
        <f>'Pryse + Sensatiwiteitsanalise'!$D$6</f>
        <v>192.41</v>
      </c>
      <c r="F34" s="360">
        <f>'Pryse + Sensatiwiteitsanalise'!$D$6</f>
        <v>192.41</v>
      </c>
      <c r="G34" s="360">
        <f>'Pryse + Sensatiwiteitsanalise'!$D$6</f>
        <v>192.41</v>
      </c>
      <c r="H34" s="360">
        <f>'Pryse + Sensatiwiteitsanalise'!$D$6</f>
        <v>192.41</v>
      </c>
    </row>
    <row r="35" spans="1:9" ht="15" thickBot="1" x14ac:dyDescent="0.35">
      <c r="A35" s="411"/>
      <c r="B35" s="412"/>
      <c r="C35" s="412"/>
      <c r="D35" s="367"/>
      <c r="E35" s="367"/>
      <c r="F35" s="367"/>
      <c r="G35" s="367"/>
      <c r="H35" s="367"/>
    </row>
    <row r="36" spans="1:9" ht="13.5" customHeight="1" thickBot="1" x14ac:dyDescent="0.35">
      <c r="A36" s="538" t="s">
        <v>71</v>
      </c>
      <c r="B36" s="539"/>
      <c r="C36" s="540"/>
      <c r="D36" s="368">
        <f>D32+D34</f>
        <v>9930.716005186905</v>
      </c>
      <c r="E36" s="368">
        <f>E32+E34</f>
        <v>8447.3584461778064</v>
      </c>
      <c r="F36" s="368">
        <f>F32+F34</f>
        <v>7458.4534068384055</v>
      </c>
      <c r="G36" s="368">
        <f>G32+G34</f>
        <v>6752.0926644531201</v>
      </c>
      <c r="H36" s="368">
        <f>H32+H34</f>
        <v>6222.3221076641566</v>
      </c>
    </row>
    <row r="37" spans="1:9" ht="15" thickBot="1" x14ac:dyDescent="0.35">
      <c r="A37" s="425" t="s">
        <v>72</v>
      </c>
      <c r="B37" s="426"/>
      <c r="C37" s="427"/>
      <c r="D37" s="368">
        <f>'Pryse + Sensatiwiteitsanalise'!B6</f>
        <v>7900</v>
      </c>
      <c r="E37" s="368">
        <f>$D$37</f>
        <v>7900</v>
      </c>
      <c r="F37" s="368">
        <f>$D$37</f>
        <v>7900</v>
      </c>
      <c r="G37" s="368">
        <f>$D$37</f>
        <v>7900</v>
      </c>
      <c r="H37" s="368">
        <f>$D$37</f>
        <v>7900</v>
      </c>
    </row>
    <row r="38" spans="1:9" ht="15" thickBot="1" x14ac:dyDescent="0.35">
      <c r="A38" s="438"/>
      <c r="B38" s="438"/>
      <c r="C38" s="438"/>
      <c r="D38" s="439"/>
      <c r="E38" s="439"/>
      <c r="F38" s="439"/>
      <c r="G38" s="439"/>
      <c r="H38" s="439"/>
    </row>
    <row r="39" spans="1:9" s="373" customFormat="1" x14ac:dyDescent="0.3">
      <c r="A39" s="526" t="s">
        <v>73</v>
      </c>
      <c r="B39" s="527"/>
      <c r="C39" s="528"/>
      <c r="D39" s="323">
        <f>D6-D26</f>
        <v>-2030.716005186905</v>
      </c>
      <c r="E39" s="429">
        <f>E6-E26</f>
        <v>-684.19805772225845</v>
      </c>
      <c r="F39" s="323">
        <f>F6-F26</f>
        <v>662.31988974239175</v>
      </c>
      <c r="G39" s="429">
        <f>G6-G26</f>
        <v>2008.8378372070401</v>
      </c>
      <c r="H39" s="323">
        <f>H6-H26</f>
        <v>3355.3557846716867</v>
      </c>
    </row>
    <row r="40" spans="1:9" s="373" customFormat="1" ht="15" thickBot="1" x14ac:dyDescent="0.35">
      <c r="A40" s="529" t="s">
        <v>74</v>
      </c>
      <c r="B40" s="530"/>
      <c r="C40" s="531"/>
      <c r="D40" s="324">
        <f>D6-D30</f>
        <v>-8053.0560051869033</v>
      </c>
      <c r="E40" s="430">
        <f>E6-E30</f>
        <v>-6706.5380577222568</v>
      </c>
      <c r="F40" s="324">
        <f>F6-F30</f>
        <v>-5360.0201102576084</v>
      </c>
      <c r="G40" s="430">
        <f>G6-G30</f>
        <v>-4013.50216279296</v>
      </c>
      <c r="H40" s="324">
        <f>H6-H30</f>
        <v>-2666.9842153283134</v>
      </c>
    </row>
    <row r="41" spans="1:9" x14ac:dyDescent="0.3">
      <c r="A41" s="325" t="s">
        <v>178</v>
      </c>
      <c r="B41" s="374"/>
      <c r="C41" s="374"/>
      <c r="D41" s="374"/>
      <c r="E41" s="374"/>
      <c r="F41" s="374"/>
      <c r="G41" s="374"/>
      <c r="H41" s="375"/>
      <c r="I41" s="376"/>
    </row>
    <row r="42" spans="1:9" x14ac:dyDescent="0.3">
      <c r="A42" s="326" t="s">
        <v>76</v>
      </c>
      <c r="B42" s="377"/>
      <c r="C42" s="377"/>
      <c r="D42" s="377"/>
      <c r="E42" s="377"/>
      <c r="F42" s="377"/>
      <c r="G42" s="377"/>
      <c r="H42" s="378"/>
      <c r="I42" s="376"/>
    </row>
    <row r="43" spans="1:9" ht="15" thickBot="1" x14ac:dyDescent="0.35">
      <c r="A43" s="327" t="s">
        <v>77</v>
      </c>
      <c r="B43" s="379"/>
      <c r="C43" s="379"/>
      <c r="D43" s="379"/>
      <c r="E43" s="379"/>
      <c r="F43" s="379"/>
      <c r="G43" s="379"/>
      <c r="H43" s="380"/>
      <c r="I43" s="376"/>
    </row>
  </sheetData>
  <mergeCells count="11">
    <mergeCell ref="A39:C39"/>
    <mergeCell ref="A40:C40"/>
    <mergeCell ref="A1:D1"/>
    <mergeCell ref="E1:G1"/>
    <mergeCell ref="A32:C32"/>
    <mergeCell ref="A36:C36"/>
    <mergeCell ref="A3:C3"/>
    <mergeCell ref="A8:C8"/>
    <mergeCell ref="A26:C26"/>
    <mergeCell ref="A28:C28"/>
    <mergeCell ref="A30:C30"/>
  </mergeCells>
  <conditionalFormatting sqref="D39:H40">
    <cfRule type="colorScale" priority="68">
      <colorScale>
        <cfvo type="min"/>
        <cfvo type="percentile" val="50"/>
        <cfvo type="max"/>
        <color rgb="FFF8696B"/>
        <color rgb="FFFFEB84"/>
        <color rgb="FF63BE7B"/>
      </colorScale>
    </cfRule>
    <cfRule type="colorScale" priority="69">
      <colorScale>
        <cfvo type="min"/>
        <cfvo type="percentile" val="50"/>
        <cfvo type="max"/>
        <color rgb="FFF8696B"/>
        <color rgb="FFFFEB84"/>
        <color rgb="FF63BE7B"/>
      </colorScale>
    </cfRule>
    <cfRule type="colorScale" priority="70">
      <colorScale>
        <cfvo type="min"/>
        <cfvo type="percentile" val="50"/>
        <cfvo type="max"/>
        <color rgb="FFF8696B"/>
        <color rgb="FFFFEB84"/>
        <color rgb="FF63BE7B"/>
      </colorScale>
    </cfRule>
  </conditionalFormatting>
  <pageMargins left="0.35433070866141736" right="0.35433070866141736" top="0.59055118110236227" bottom="0.59055118110236227" header="0.31496062992125984" footer="0.31496062992125984"/>
  <pageSetup paperSize="9" scale="66" fitToHeight="0" orientation="portrait" r:id="rId1"/>
  <headerFooter alignWithMargins="0">
    <oddHeader>&amp;F</oddHeader>
    <oddFooter>&amp;A&amp;RPage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2009E-E900-4170-8FFF-6F891A164244}">
  <sheetPr>
    <pageSetUpPr fitToPage="1"/>
  </sheetPr>
  <dimension ref="A1:H51"/>
  <sheetViews>
    <sheetView topLeftCell="A15" zoomScale="85" zoomScaleNormal="85" workbookViewId="0">
      <selection activeCell="A40" sqref="A40:C40"/>
    </sheetView>
  </sheetViews>
  <sheetFormatPr defaultColWidth="9.109375" defaultRowHeight="14.4" x14ac:dyDescent="0.3"/>
  <cols>
    <col min="1" max="1" width="41.6640625" style="328" customWidth="1"/>
    <col min="2" max="2" width="18" style="328" customWidth="1"/>
    <col min="3" max="3" width="31.5546875" style="328" customWidth="1"/>
    <col min="4" max="4" width="11.109375" style="328" customWidth="1"/>
    <col min="5" max="6" width="11.88671875" style="328" bestFit="1" customWidth="1"/>
    <col min="7" max="8" width="14.33203125" style="328" customWidth="1"/>
    <col min="9" max="20" width="12.6640625" style="328" customWidth="1"/>
    <col min="21" max="16384" width="9.109375" style="328"/>
  </cols>
  <sheetData>
    <row r="1" spans="1:8" ht="33.75" customHeight="1" thickBot="1" x14ac:dyDescent="0.35">
      <c r="A1" s="532" t="s">
        <v>101</v>
      </c>
      <c r="B1" s="533"/>
      <c r="C1" s="533"/>
      <c r="D1" s="533"/>
      <c r="E1" s="534" t="s">
        <v>43</v>
      </c>
      <c r="F1" s="534"/>
      <c r="G1" s="534"/>
      <c r="H1" s="431"/>
    </row>
    <row r="2" spans="1:8" ht="15" thickBot="1" x14ac:dyDescent="0.35">
      <c r="A2" s="329"/>
      <c r="B2" s="330"/>
      <c r="C2" s="331"/>
      <c r="D2" s="331"/>
      <c r="E2" s="331"/>
      <c r="F2" s="331"/>
      <c r="G2" s="331"/>
      <c r="H2" s="331"/>
    </row>
    <row r="3" spans="1:8" ht="15" thickBot="1" x14ac:dyDescent="0.35">
      <c r="A3" s="541" t="s">
        <v>44</v>
      </c>
      <c r="B3" s="542"/>
      <c r="C3" s="542"/>
      <c r="D3" s="332"/>
      <c r="E3" s="333">
        <f>'Pryse + Sensatiwiteitsanalise'!B7-'Pryse + Sensatiwiteitsanalise'!D8</f>
        <v>3437</v>
      </c>
      <c r="F3" s="332" t="s">
        <v>45</v>
      </c>
      <c r="G3" s="334"/>
      <c r="H3" s="334"/>
    </row>
    <row r="4" spans="1:8" ht="15" thickBot="1" x14ac:dyDescent="0.35">
      <c r="A4" s="402"/>
      <c r="B4" s="340"/>
      <c r="C4" s="340"/>
      <c r="D4" s="337"/>
      <c r="E4" s="338"/>
      <c r="F4" s="339"/>
      <c r="G4" s="340"/>
      <c r="H4" s="432"/>
    </row>
    <row r="5" spans="1:8" ht="15" thickBot="1" x14ac:dyDescent="0.35">
      <c r="A5" s="335" t="s">
        <v>46</v>
      </c>
      <c r="B5" s="340"/>
      <c r="C5" s="340"/>
      <c r="D5" s="433">
        <v>2.5</v>
      </c>
      <c r="E5" s="433">
        <v>3</v>
      </c>
      <c r="F5" s="433">
        <v>3.5</v>
      </c>
      <c r="G5" s="433">
        <v>4</v>
      </c>
      <c r="H5" s="433">
        <v>4.5</v>
      </c>
    </row>
    <row r="6" spans="1:8" ht="15" thickBot="1" x14ac:dyDescent="0.35">
      <c r="A6" s="343" t="s">
        <v>47</v>
      </c>
      <c r="B6" s="408"/>
      <c r="C6" s="409"/>
      <c r="D6" s="346">
        <v>8464.9500000000007</v>
      </c>
      <c r="E6" s="346">
        <v>10157.94</v>
      </c>
      <c r="F6" s="346">
        <v>11850.93</v>
      </c>
      <c r="G6" s="346">
        <v>13543.92</v>
      </c>
      <c r="H6" s="346">
        <v>15236.91</v>
      </c>
    </row>
    <row r="7" spans="1:8" ht="15" thickBot="1" x14ac:dyDescent="0.35">
      <c r="A7" s="411"/>
      <c r="B7" s="412"/>
      <c r="C7" s="412"/>
      <c r="D7" s="349"/>
      <c r="E7" s="349"/>
      <c r="F7" s="349"/>
      <c r="G7" s="349"/>
      <c r="H7" s="349"/>
    </row>
    <row r="8" spans="1:8" ht="15" thickBot="1" x14ac:dyDescent="0.35">
      <c r="A8" s="543" t="s">
        <v>48</v>
      </c>
      <c r="B8" s="544"/>
      <c r="C8" s="545"/>
      <c r="D8" s="350"/>
      <c r="E8" s="350"/>
      <c r="F8" s="350"/>
      <c r="G8" s="350"/>
      <c r="H8" s="350"/>
    </row>
    <row r="9" spans="1:8" x14ac:dyDescent="0.3">
      <c r="A9" s="351" t="s">
        <v>86</v>
      </c>
      <c r="B9" s="352"/>
      <c r="C9" s="352"/>
      <c r="D9" s="353">
        <v>603.12060000000008</v>
      </c>
      <c r="E9" s="353">
        <v>670.13400000000001</v>
      </c>
      <c r="F9" s="353">
        <v>670.13400000000001</v>
      </c>
      <c r="G9" s="353">
        <v>804.16080000000011</v>
      </c>
      <c r="H9" s="353">
        <v>938.18760000000009</v>
      </c>
    </row>
    <row r="10" spans="1:8" x14ac:dyDescent="0.3">
      <c r="A10" s="355" t="s">
        <v>87</v>
      </c>
      <c r="B10" s="356"/>
      <c r="C10" s="356"/>
      <c r="D10" s="357">
        <v>3427.9749999999999</v>
      </c>
      <c r="E10" s="357">
        <v>4093.5699999999997</v>
      </c>
      <c r="F10" s="357">
        <v>4759.165</v>
      </c>
      <c r="G10" s="357">
        <v>5424.76</v>
      </c>
      <c r="H10" s="357">
        <v>6090.3549999999996</v>
      </c>
    </row>
    <row r="11" spans="1:8" x14ac:dyDescent="0.3">
      <c r="A11" s="355" t="s">
        <v>88</v>
      </c>
      <c r="B11" s="356"/>
      <c r="C11" s="356"/>
      <c r="D11" s="357">
        <v>800</v>
      </c>
      <c r="E11" s="357">
        <v>800</v>
      </c>
      <c r="F11" s="357">
        <v>800</v>
      </c>
      <c r="G11" s="357">
        <v>800</v>
      </c>
      <c r="H11" s="357">
        <v>800</v>
      </c>
    </row>
    <row r="12" spans="1:8" x14ac:dyDescent="0.3">
      <c r="A12" s="355" t="s">
        <v>89</v>
      </c>
      <c r="B12" s="356"/>
      <c r="C12" s="356"/>
      <c r="D12" s="357">
        <v>1429.2807680000001</v>
      </c>
      <c r="E12" s="357">
        <v>1462.400768</v>
      </c>
      <c r="F12" s="357">
        <v>1495.5207679999999</v>
      </c>
      <c r="G12" s="357">
        <v>1528.640768</v>
      </c>
      <c r="H12" s="357">
        <v>1561.7607680000001</v>
      </c>
    </row>
    <row r="13" spans="1:8" x14ac:dyDescent="0.3">
      <c r="A13" s="355" t="s">
        <v>53</v>
      </c>
      <c r="B13" s="356"/>
      <c r="C13" s="356"/>
      <c r="D13" s="357">
        <v>1280.9820666666665</v>
      </c>
      <c r="E13" s="357">
        <v>1285.7354</v>
      </c>
      <c r="F13" s="357">
        <v>1290.4887333333331</v>
      </c>
      <c r="G13" s="357">
        <v>1295.2420666666667</v>
      </c>
      <c r="H13" s="357">
        <v>1299.9953999999998</v>
      </c>
    </row>
    <row r="14" spans="1:8" x14ac:dyDescent="0.3">
      <c r="A14" s="355" t="s">
        <v>90</v>
      </c>
      <c r="B14" s="356"/>
      <c r="C14" s="356"/>
      <c r="D14" s="357">
        <v>1056.6820000000002</v>
      </c>
      <c r="E14" s="357">
        <v>1056.6820000000002</v>
      </c>
      <c r="F14" s="357">
        <v>1056.6820000000002</v>
      </c>
      <c r="G14" s="357">
        <v>1056.6820000000002</v>
      </c>
      <c r="H14" s="357">
        <v>1056.6820000000002</v>
      </c>
    </row>
    <row r="15" spans="1:8" x14ac:dyDescent="0.3">
      <c r="A15" s="355" t="s">
        <v>91</v>
      </c>
      <c r="B15" s="356"/>
      <c r="C15" s="356"/>
      <c r="D15" s="357">
        <v>651.54999999999995</v>
      </c>
      <c r="E15" s="357">
        <v>651.54999999999995</v>
      </c>
      <c r="F15" s="357">
        <v>651.54999999999995</v>
      </c>
      <c r="G15" s="357">
        <v>651.54999999999995</v>
      </c>
      <c r="H15" s="357">
        <v>651.54999999999995</v>
      </c>
    </row>
    <row r="16" spans="1:8" x14ac:dyDescent="0.3">
      <c r="A16" s="355" t="s">
        <v>92</v>
      </c>
      <c r="B16" s="356"/>
      <c r="C16" s="356"/>
      <c r="D16" s="357"/>
      <c r="E16" s="357"/>
      <c r="F16" s="357"/>
      <c r="G16" s="357"/>
      <c r="H16" s="357"/>
    </row>
    <row r="17" spans="1:8" x14ac:dyDescent="0.3">
      <c r="A17" s="355" t="str">
        <f>Sojabone!A17</f>
        <v>Besproeiingskoste / Irrigation cost</v>
      </c>
      <c r="B17" s="356"/>
      <c r="C17" s="356"/>
      <c r="D17" s="357"/>
      <c r="E17" s="357"/>
      <c r="F17" s="357"/>
      <c r="G17" s="357"/>
      <c r="H17" s="357"/>
    </row>
    <row r="18" spans="1:8" x14ac:dyDescent="0.3">
      <c r="A18" s="355" t="s">
        <v>93</v>
      </c>
      <c r="B18" s="356"/>
      <c r="C18" s="356"/>
      <c r="D18" s="357"/>
      <c r="E18" s="357"/>
      <c r="F18" s="357"/>
      <c r="G18" s="357"/>
      <c r="H18" s="357"/>
    </row>
    <row r="19" spans="1:8" x14ac:dyDescent="0.3">
      <c r="A19" s="355" t="s">
        <v>94</v>
      </c>
      <c r="B19" s="356"/>
      <c r="C19" s="356"/>
      <c r="D19" s="357"/>
      <c r="E19" s="357"/>
      <c r="F19" s="357"/>
      <c r="G19" s="357"/>
      <c r="H19" s="357"/>
    </row>
    <row r="20" spans="1:8" x14ac:dyDescent="0.3">
      <c r="A20" s="355" t="s">
        <v>95</v>
      </c>
      <c r="B20" s="356"/>
      <c r="C20" s="356"/>
      <c r="D20" s="357">
        <v>194.69385000000003</v>
      </c>
      <c r="E20" s="357">
        <v>233.63262</v>
      </c>
      <c r="F20" s="357">
        <v>272.57139000000001</v>
      </c>
      <c r="G20" s="357">
        <v>311.51015999999998</v>
      </c>
      <c r="H20" s="357">
        <v>350.44893000000002</v>
      </c>
    </row>
    <row r="21" spans="1:8" x14ac:dyDescent="0.3">
      <c r="A21" s="355" t="s">
        <v>96</v>
      </c>
      <c r="B21" s="356"/>
      <c r="C21" s="356"/>
      <c r="D21" s="357">
        <v>200</v>
      </c>
      <c r="E21" s="357">
        <v>200</v>
      </c>
      <c r="F21" s="357">
        <v>200</v>
      </c>
      <c r="G21" s="357">
        <v>200</v>
      </c>
      <c r="H21" s="357">
        <v>200</v>
      </c>
    </row>
    <row r="22" spans="1:8" x14ac:dyDescent="0.3">
      <c r="A22" s="355" t="s">
        <v>97</v>
      </c>
      <c r="B22" s="356"/>
      <c r="C22" s="356"/>
      <c r="D22" s="357">
        <v>300</v>
      </c>
      <c r="E22" s="357">
        <v>300</v>
      </c>
      <c r="F22" s="357">
        <v>300</v>
      </c>
      <c r="G22" s="357">
        <v>300</v>
      </c>
      <c r="H22" s="357">
        <v>300</v>
      </c>
    </row>
    <row r="23" spans="1:8" x14ac:dyDescent="0.3">
      <c r="A23" s="355" t="s">
        <v>98</v>
      </c>
      <c r="B23" s="356"/>
      <c r="C23" s="356"/>
      <c r="D23" s="357"/>
      <c r="E23" s="357"/>
      <c r="F23" s="357"/>
      <c r="G23" s="357"/>
      <c r="H23" s="357"/>
    </row>
    <row r="24" spans="1:8" x14ac:dyDescent="0.3">
      <c r="A24" s="355" t="s">
        <v>99</v>
      </c>
      <c r="B24" s="356"/>
      <c r="C24" s="356"/>
      <c r="D24" s="357"/>
      <c r="E24" s="357"/>
      <c r="F24" s="357"/>
      <c r="G24" s="357"/>
      <c r="H24" s="357"/>
    </row>
    <row r="25" spans="1:8" ht="15" thickBot="1" x14ac:dyDescent="0.35">
      <c r="A25" s="355" t="s">
        <v>100</v>
      </c>
      <c r="B25" s="356"/>
      <c r="C25" s="356"/>
      <c r="D25" s="357">
        <v>609.08741243583324</v>
      </c>
      <c r="E25" s="357">
        <v>658.66441826499988</v>
      </c>
      <c r="F25" s="357">
        <v>704.13685334416675</v>
      </c>
      <c r="G25" s="357">
        <v>757.81842992333316</v>
      </c>
      <c r="H25" s="357">
        <v>811.50000650250001</v>
      </c>
    </row>
    <row r="26" spans="1:8" ht="15" thickBot="1" x14ac:dyDescent="0.35">
      <c r="A26" s="535" t="s">
        <v>66</v>
      </c>
      <c r="B26" s="546"/>
      <c r="C26" s="547"/>
      <c r="D26" s="360">
        <f>SUM(D9:D25)</f>
        <v>10553.371697102499</v>
      </c>
      <c r="E26" s="360">
        <f t="shared" ref="E26:H26" si="0">SUM(E9:E25)</f>
        <v>11412.369206264999</v>
      </c>
      <c r="F26" s="360">
        <f t="shared" si="0"/>
        <v>12200.248744677499</v>
      </c>
      <c r="G26" s="360">
        <f t="shared" si="0"/>
        <v>13130.364224589999</v>
      </c>
      <c r="H26" s="360">
        <f t="shared" si="0"/>
        <v>14060.479704502501</v>
      </c>
    </row>
    <row r="27" spans="1:8" ht="15" thickBot="1" x14ac:dyDescent="0.35">
      <c r="A27" s="361"/>
      <c r="B27" s="362"/>
      <c r="C27" s="362"/>
      <c r="D27" s="363"/>
      <c r="E27" s="363"/>
      <c r="F27" s="363"/>
      <c r="G27" s="363"/>
      <c r="H27" s="363"/>
    </row>
    <row r="28" spans="1:8" ht="13.5" customHeight="1" thickBot="1" x14ac:dyDescent="0.35">
      <c r="A28" s="548" t="s">
        <v>67</v>
      </c>
      <c r="B28" s="549"/>
      <c r="C28" s="550"/>
      <c r="D28" s="364">
        <v>6774.08</v>
      </c>
      <c r="E28" s="365">
        <v>6774.08</v>
      </c>
      <c r="F28" s="365">
        <v>6774.08</v>
      </c>
      <c r="G28" s="365">
        <v>6774.08</v>
      </c>
      <c r="H28" s="365">
        <v>6774.08</v>
      </c>
    </row>
    <row r="29" spans="1:8" ht="15" thickBot="1" x14ac:dyDescent="0.35">
      <c r="A29" s="361"/>
      <c r="B29" s="362"/>
      <c r="C29" s="362"/>
      <c r="D29" s="363"/>
      <c r="E29" s="363"/>
      <c r="F29" s="363"/>
      <c r="G29" s="363"/>
      <c r="H29" s="363"/>
    </row>
    <row r="30" spans="1:8" ht="15" thickBot="1" x14ac:dyDescent="0.35">
      <c r="A30" s="535" t="s">
        <v>68</v>
      </c>
      <c r="B30" s="546"/>
      <c r="C30" s="547"/>
      <c r="D30" s="360">
        <f>D26+D28</f>
        <v>17327.4516971025</v>
      </c>
      <c r="E30" s="360">
        <f t="shared" ref="E30:H30" si="1">E26+E28</f>
        <v>18186.449206264999</v>
      </c>
      <c r="F30" s="360">
        <f t="shared" si="1"/>
        <v>18974.328744677499</v>
      </c>
      <c r="G30" s="360">
        <f t="shared" si="1"/>
        <v>19904.444224589999</v>
      </c>
      <c r="H30" s="360">
        <f t="shared" si="1"/>
        <v>20834.559704502499</v>
      </c>
    </row>
    <row r="31" spans="1:8" ht="15" thickBot="1" x14ac:dyDescent="0.35">
      <c r="A31" s="347"/>
      <c r="B31" s="348"/>
      <c r="C31" s="348"/>
      <c r="D31" s="367"/>
      <c r="E31" s="367"/>
      <c r="F31" s="367"/>
      <c r="G31" s="367"/>
      <c r="H31" s="367"/>
    </row>
    <row r="32" spans="1:8" ht="15" thickBot="1" x14ac:dyDescent="0.35">
      <c r="A32" s="535" t="s">
        <v>69</v>
      </c>
      <c r="B32" s="536"/>
      <c r="C32" s="537"/>
      <c r="D32" s="360">
        <f>D30/D5</f>
        <v>6930.9806788410006</v>
      </c>
      <c r="E32" s="360">
        <f t="shared" ref="E32:H32" si="2">E30/E5</f>
        <v>6062.1497354216663</v>
      </c>
      <c r="F32" s="360">
        <f t="shared" si="2"/>
        <v>5421.2367841935711</v>
      </c>
      <c r="G32" s="360">
        <f t="shared" si="2"/>
        <v>4976.1110561474998</v>
      </c>
      <c r="H32" s="360">
        <f t="shared" si="2"/>
        <v>4629.9021565561106</v>
      </c>
    </row>
    <row r="33" spans="1:8" ht="15" thickBot="1" x14ac:dyDescent="0.35">
      <c r="A33" s="411"/>
      <c r="B33" s="412"/>
      <c r="C33" s="412"/>
      <c r="D33" s="367"/>
      <c r="E33" s="367"/>
      <c r="F33" s="367"/>
      <c r="G33" s="367"/>
      <c r="H33" s="367"/>
    </row>
    <row r="34" spans="1:8" ht="15" thickBot="1" x14ac:dyDescent="0.35">
      <c r="A34" s="423" t="s">
        <v>70</v>
      </c>
      <c r="B34" s="408"/>
      <c r="C34" s="408"/>
      <c r="D34" s="360">
        <f>'Pryse + Sensatiwiteitsanalise'!D7</f>
        <v>108.52</v>
      </c>
      <c r="E34" s="360">
        <f>D34</f>
        <v>108.52</v>
      </c>
      <c r="F34" s="360">
        <f>E34</f>
        <v>108.52</v>
      </c>
      <c r="G34" s="360">
        <f>F34</f>
        <v>108.52</v>
      </c>
      <c r="H34" s="360">
        <f>F34</f>
        <v>108.52</v>
      </c>
    </row>
    <row r="35" spans="1:8" ht="15" thickBot="1" x14ac:dyDescent="0.35">
      <c r="A35" s="411"/>
      <c r="B35" s="412"/>
      <c r="C35" s="412"/>
      <c r="D35" s="367"/>
      <c r="E35" s="367"/>
      <c r="F35" s="367"/>
      <c r="G35" s="367"/>
      <c r="H35" s="367"/>
    </row>
    <row r="36" spans="1:8" ht="13.5" customHeight="1" thickBot="1" x14ac:dyDescent="0.35">
      <c r="A36" s="538" t="s">
        <v>71</v>
      </c>
      <c r="B36" s="539"/>
      <c r="C36" s="540"/>
      <c r="D36" s="368">
        <f>D32+D34</f>
        <v>7039.500678841001</v>
      </c>
      <c r="E36" s="368">
        <f t="shared" ref="E36:H36" si="3">E32+E34</f>
        <v>6170.6697354216667</v>
      </c>
      <c r="F36" s="368">
        <f t="shared" si="3"/>
        <v>5529.7567841935715</v>
      </c>
      <c r="G36" s="368">
        <f t="shared" si="3"/>
        <v>5084.6310561475002</v>
      </c>
      <c r="H36" s="368">
        <f t="shared" si="3"/>
        <v>4738.4221565561111</v>
      </c>
    </row>
    <row r="37" spans="1:8" ht="15" thickBot="1" x14ac:dyDescent="0.35">
      <c r="A37" s="425" t="s">
        <v>72</v>
      </c>
      <c r="B37" s="426"/>
      <c r="C37" s="427"/>
      <c r="D37" s="368">
        <f>'Pryse + Sensatiwiteitsanalise'!B7</f>
        <v>3500</v>
      </c>
      <c r="E37" s="368">
        <f>$D$37</f>
        <v>3500</v>
      </c>
      <c r="F37" s="368">
        <f>$D$37</f>
        <v>3500</v>
      </c>
      <c r="G37" s="368">
        <f>$D$37</f>
        <v>3500</v>
      </c>
      <c r="H37" s="368">
        <f>$D$37</f>
        <v>3500</v>
      </c>
    </row>
    <row r="38" spans="1:8" ht="15" thickBot="1" x14ac:dyDescent="0.35">
      <c r="D38" s="372"/>
      <c r="E38" s="372"/>
      <c r="F38" s="372"/>
      <c r="G38" s="372"/>
      <c r="H38" s="372"/>
    </row>
    <row r="39" spans="1:8" s="373" customFormat="1" x14ac:dyDescent="0.3">
      <c r="A39" s="526" t="s">
        <v>73</v>
      </c>
      <c r="B39" s="527"/>
      <c r="C39" s="528"/>
      <c r="D39" s="323">
        <f>D6-D26</f>
        <v>-2088.421697102498</v>
      </c>
      <c r="E39" s="429">
        <f>E6-E26</f>
        <v>-1254.4292062649984</v>
      </c>
      <c r="F39" s="323">
        <f>F6-F26</f>
        <v>-349.31874467749913</v>
      </c>
      <c r="G39" s="429">
        <f>G6-G26</f>
        <v>413.55577541000093</v>
      </c>
      <c r="H39" s="323">
        <f>H6-H26</f>
        <v>1176.4302954974992</v>
      </c>
    </row>
    <row r="40" spans="1:8" s="373" customFormat="1" ht="15" thickBot="1" x14ac:dyDescent="0.35">
      <c r="A40" s="529" t="s">
        <v>74</v>
      </c>
      <c r="B40" s="530"/>
      <c r="C40" s="531"/>
      <c r="D40" s="324">
        <f>D6-D30</f>
        <v>-8862.5016971024997</v>
      </c>
      <c r="E40" s="430">
        <f>E6-E30</f>
        <v>-8028.5092062649983</v>
      </c>
      <c r="F40" s="324">
        <f>F6-F30</f>
        <v>-7123.3987446774991</v>
      </c>
      <c r="G40" s="430">
        <f>G6-G30</f>
        <v>-6360.524224589999</v>
      </c>
      <c r="H40" s="324">
        <f>H6-H30</f>
        <v>-5597.6497045024989</v>
      </c>
    </row>
    <row r="41" spans="1:8" x14ac:dyDescent="0.3">
      <c r="A41" s="325" t="s">
        <v>178</v>
      </c>
      <c r="B41" s="374"/>
      <c r="C41" s="374"/>
      <c r="D41" s="374"/>
      <c r="E41" s="374"/>
      <c r="F41" s="374"/>
      <c r="G41" s="374"/>
      <c r="H41" s="375"/>
    </row>
    <row r="42" spans="1:8" x14ac:dyDescent="0.3">
      <c r="A42" s="326" t="s">
        <v>76</v>
      </c>
      <c r="B42" s="377"/>
      <c r="C42" s="377"/>
      <c r="D42" s="377"/>
      <c r="E42" s="377"/>
      <c r="F42" s="377"/>
      <c r="G42" s="377"/>
      <c r="H42" s="378"/>
    </row>
    <row r="43" spans="1:8" ht="15" thickBot="1" x14ac:dyDescent="0.35">
      <c r="A43" s="327" t="s">
        <v>77</v>
      </c>
      <c r="B43" s="379"/>
      <c r="C43" s="379"/>
      <c r="D43" s="379"/>
      <c r="E43" s="379"/>
      <c r="F43" s="379"/>
      <c r="G43" s="379"/>
      <c r="H43" s="380"/>
    </row>
    <row r="49" spans="5:5" x14ac:dyDescent="0.3">
      <c r="E49" s="328">
        <v>382699</v>
      </c>
    </row>
    <row r="50" spans="5:5" x14ac:dyDescent="0.3">
      <c r="E50" s="328">
        <v>576720</v>
      </c>
    </row>
    <row r="51" spans="5:5" x14ac:dyDescent="0.3">
      <c r="E51" s="328">
        <f>E50-E49</f>
        <v>194021</v>
      </c>
    </row>
  </sheetData>
  <mergeCells count="11">
    <mergeCell ref="A39:C39"/>
    <mergeCell ref="A40:C40"/>
    <mergeCell ref="A1:D1"/>
    <mergeCell ref="E1:G1"/>
    <mergeCell ref="A32:C32"/>
    <mergeCell ref="A36:C36"/>
    <mergeCell ref="A3:C3"/>
    <mergeCell ref="A8:C8"/>
    <mergeCell ref="A26:C26"/>
    <mergeCell ref="A28:C28"/>
    <mergeCell ref="A30:C30"/>
  </mergeCells>
  <conditionalFormatting sqref="D39:H40">
    <cfRule type="colorScale" priority="71">
      <colorScale>
        <cfvo type="min"/>
        <cfvo type="percentile" val="50"/>
        <cfvo type="max"/>
        <color rgb="FFF8696B"/>
        <color rgb="FFFFEB84"/>
        <color rgb="FF63BE7B"/>
      </colorScale>
    </cfRule>
    <cfRule type="colorScale" priority="72">
      <colorScale>
        <cfvo type="min"/>
        <cfvo type="percentile" val="50"/>
        <cfvo type="max"/>
        <color rgb="FFF8696B"/>
        <color rgb="FFFFEB84"/>
        <color rgb="FF63BE7B"/>
      </colorScale>
    </cfRule>
    <cfRule type="colorScale" priority="73">
      <colorScale>
        <cfvo type="min"/>
        <cfvo type="percentile" val="50"/>
        <cfvo type="max"/>
        <color rgb="FFF8696B"/>
        <color rgb="FFFFEB84"/>
        <color rgb="FF63BE7B"/>
      </colorScale>
    </cfRule>
  </conditionalFormatting>
  <pageMargins left="0.70866141732283472" right="0.70866141732283472" top="0.74803149606299213" bottom="0.74803149606299213" header="0.31496062992125984" footer="0.31496062992125984"/>
  <pageSetup scale="56" fitToHeight="0" orientation="portrait" r:id="rId1"/>
  <headerFooter>
    <oddHeader>&amp;F</oddHeader>
    <oddFooter>&amp;A&amp;RPage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95C08-D5BB-43EC-A32D-154E99FDE1F8}">
  <sheetPr>
    <pageSetUpPr fitToPage="1"/>
  </sheetPr>
  <dimension ref="A1:H51"/>
  <sheetViews>
    <sheetView zoomScale="85" zoomScaleNormal="85" workbookViewId="0">
      <selection activeCell="K9" sqref="K9"/>
    </sheetView>
  </sheetViews>
  <sheetFormatPr defaultColWidth="9.109375" defaultRowHeight="14.4" x14ac:dyDescent="0.3"/>
  <cols>
    <col min="1" max="1" width="41.6640625" style="383" customWidth="1"/>
    <col min="2" max="2" width="18" style="383" customWidth="1"/>
    <col min="3" max="3" width="32" style="383" customWidth="1"/>
    <col min="4" max="4" width="20.88671875" style="383" bestFit="1" customWidth="1"/>
    <col min="5" max="5" width="11.88671875" style="383" bestFit="1" customWidth="1"/>
    <col min="6" max="6" width="16.33203125" style="383" customWidth="1"/>
    <col min="7" max="7" width="14.33203125" style="383" customWidth="1"/>
    <col min="8" max="8" width="14.44140625" style="383" customWidth="1"/>
    <col min="9" max="24" width="12.6640625" style="383" customWidth="1"/>
    <col min="25" max="16384" width="9.109375" style="383"/>
  </cols>
  <sheetData>
    <row r="1" spans="1:7" ht="33.75" customHeight="1" thickBot="1" x14ac:dyDescent="0.35">
      <c r="A1" s="532" t="s">
        <v>102</v>
      </c>
      <c r="B1" s="533"/>
      <c r="C1" s="533"/>
      <c r="D1" s="533"/>
      <c r="E1" s="534" t="s">
        <v>43</v>
      </c>
      <c r="F1" s="534"/>
      <c r="G1" s="534"/>
    </row>
    <row r="2" spans="1:7" ht="15" thickBot="1" x14ac:dyDescent="0.35">
      <c r="A2" s="381"/>
      <c r="B2" s="384"/>
      <c r="C2" s="384"/>
      <c r="D2" s="384"/>
      <c r="E2" s="382"/>
      <c r="F2" s="382"/>
      <c r="G2" s="382"/>
    </row>
    <row r="3" spans="1:7" ht="39.75" customHeight="1" thickBot="1" x14ac:dyDescent="0.35">
      <c r="A3" s="385" t="s">
        <v>103</v>
      </c>
      <c r="B3" s="386"/>
      <c r="C3" s="386"/>
      <c r="D3" s="387" t="s">
        <v>104</v>
      </c>
      <c r="E3" s="428" t="s">
        <v>105</v>
      </c>
      <c r="F3" s="386"/>
      <c r="G3" s="386"/>
    </row>
    <row r="4" spans="1:7" x14ac:dyDescent="0.3">
      <c r="A4" s="388" t="s">
        <v>106</v>
      </c>
      <c r="B4" s="389"/>
      <c r="C4" s="389"/>
      <c r="D4" s="390">
        <f>'Pryse + Sensatiwiteitsanalise'!B8-'Pryse + Sensatiwiteitsanalise'!D8</f>
        <v>21704</v>
      </c>
      <c r="E4" s="391">
        <v>0.2</v>
      </c>
      <c r="F4" s="392"/>
      <c r="G4" s="392"/>
    </row>
    <row r="5" spans="1:7" x14ac:dyDescent="0.3">
      <c r="A5" s="388" t="s">
        <v>107</v>
      </c>
      <c r="B5" s="389"/>
      <c r="C5" s="389"/>
      <c r="D5" s="390">
        <f>'Pryse + Sensatiwiteitsanalise'!B9</f>
        <v>18150</v>
      </c>
      <c r="E5" s="391">
        <v>0.35</v>
      </c>
      <c r="F5" s="392"/>
      <c r="G5" s="392"/>
    </row>
    <row r="6" spans="1:7" x14ac:dyDescent="0.3">
      <c r="A6" s="393" t="s">
        <v>108</v>
      </c>
      <c r="B6" s="389"/>
      <c r="C6" s="389"/>
      <c r="D6" s="390">
        <f>'Pryse + Sensatiwiteitsanalise'!B10</f>
        <v>16083</v>
      </c>
      <c r="E6" s="391">
        <v>0.27</v>
      </c>
      <c r="F6" s="392"/>
      <c r="G6" s="392"/>
    </row>
    <row r="7" spans="1:7" x14ac:dyDescent="0.3">
      <c r="A7" s="393" t="s">
        <v>174</v>
      </c>
      <c r="B7" s="389"/>
      <c r="C7" s="389"/>
      <c r="D7" s="390">
        <f>'Pryse + Sensatiwiteitsanalise'!B11</f>
        <v>5467</v>
      </c>
      <c r="E7" s="391">
        <v>0.09</v>
      </c>
      <c r="F7" s="392"/>
      <c r="G7" s="392"/>
    </row>
    <row r="8" spans="1:7" x14ac:dyDescent="0.3">
      <c r="A8" s="393" t="s">
        <v>109</v>
      </c>
      <c r="B8" s="394"/>
      <c r="C8" s="394"/>
      <c r="D8" s="390">
        <f>'Pryse + Sensatiwiteitsanalise'!B12</f>
        <v>3517</v>
      </c>
      <c r="E8" s="395">
        <v>0.09</v>
      </c>
      <c r="F8" s="396"/>
      <c r="G8" s="396"/>
    </row>
    <row r="9" spans="1:7" ht="15" thickBot="1" x14ac:dyDescent="0.35">
      <c r="A9" s="397" t="s">
        <v>110</v>
      </c>
      <c r="B9" s="394"/>
      <c r="C9" s="394"/>
      <c r="D9" s="396">
        <v>0</v>
      </c>
      <c r="E9" s="398"/>
      <c r="F9" s="396"/>
      <c r="G9" s="396"/>
    </row>
    <row r="10" spans="1:7" ht="15" customHeight="1" thickBot="1" x14ac:dyDescent="0.35">
      <c r="A10" s="541" t="s">
        <v>111</v>
      </c>
      <c r="B10" s="551"/>
      <c r="C10" s="551"/>
      <c r="D10" s="399">
        <f>(D4*E4)+(D5*E5)+(D6*E6)+(D7*E7)+(D8*E8)</f>
        <v>15844.27</v>
      </c>
      <c r="E10" s="400" t="s">
        <v>45</v>
      </c>
      <c r="F10" s="400"/>
      <c r="G10" s="401"/>
    </row>
    <row r="11" spans="1:7" ht="15" thickBot="1" x14ac:dyDescent="0.35">
      <c r="A11" s="402"/>
      <c r="B11" s="340"/>
      <c r="C11" s="340"/>
      <c r="D11" s="403"/>
      <c r="E11" s="404"/>
      <c r="F11" s="405"/>
      <c r="G11" s="336"/>
    </row>
    <row r="12" spans="1:7" ht="15" thickBot="1" x14ac:dyDescent="0.35">
      <c r="A12" s="335" t="s">
        <v>46</v>
      </c>
      <c r="B12" s="340"/>
      <c r="C12" s="340"/>
      <c r="D12" s="406">
        <v>1</v>
      </c>
      <c r="E12" s="406">
        <v>1.2</v>
      </c>
      <c r="F12" s="406">
        <v>1.5</v>
      </c>
      <c r="G12" s="407">
        <v>2</v>
      </c>
    </row>
    <row r="13" spans="1:7" ht="15" thickBot="1" x14ac:dyDescent="0.35">
      <c r="A13" s="343" t="s">
        <v>47</v>
      </c>
      <c r="B13" s="408"/>
      <c r="C13" s="409"/>
      <c r="D13" s="410">
        <v>16120.3</v>
      </c>
      <c r="E13" s="410">
        <v>19344.359999999997</v>
      </c>
      <c r="F13" s="410">
        <v>24180.449999999997</v>
      </c>
      <c r="G13" s="410">
        <v>32240.6</v>
      </c>
    </row>
    <row r="14" spans="1:7" ht="15" thickBot="1" x14ac:dyDescent="0.35">
      <c r="A14" s="411"/>
      <c r="B14" s="412"/>
      <c r="C14" s="412"/>
      <c r="D14" s="413"/>
      <c r="E14" s="413"/>
      <c r="F14" s="413"/>
      <c r="G14" s="413"/>
    </row>
    <row r="15" spans="1:7" ht="13.5" customHeight="1" thickBot="1" x14ac:dyDescent="0.35">
      <c r="A15" s="552" t="s">
        <v>48</v>
      </c>
      <c r="B15" s="553"/>
      <c r="C15" s="554"/>
      <c r="D15" s="414"/>
      <c r="E15" s="414"/>
      <c r="F15" s="414"/>
      <c r="G15" s="414"/>
    </row>
    <row r="16" spans="1:7" x14ac:dyDescent="0.3">
      <c r="A16" s="351" t="s">
        <v>86</v>
      </c>
      <c r="B16" s="352"/>
      <c r="C16" s="352"/>
      <c r="D16" s="415">
        <v>900</v>
      </c>
      <c r="E16" s="415">
        <v>900</v>
      </c>
      <c r="F16" s="415">
        <v>900</v>
      </c>
      <c r="G16" s="416">
        <v>900</v>
      </c>
    </row>
    <row r="17" spans="1:7" x14ac:dyDescent="0.3">
      <c r="A17" s="355" t="s">
        <v>87</v>
      </c>
      <c r="B17" s="356"/>
      <c r="C17" s="356"/>
      <c r="D17" s="417">
        <v>1326.2</v>
      </c>
      <c r="E17" s="417">
        <v>1450.73</v>
      </c>
      <c r="F17" s="417">
        <v>1724.93</v>
      </c>
      <c r="G17" s="418">
        <v>1932.48</v>
      </c>
    </row>
    <row r="18" spans="1:7" x14ac:dyDescent="0.3">
      <c r="A18" s="355" t="s">
        <v>88</v>
      </c>
      <c r="B18" s="356"/>
      <c r="C18" s="356"/>
      <c r="D18" s="417">
        <v>800</v>
      </c>
      <c r="E18" s="417">
        <v>800</v>
      </c>
      <c r="F18" s="417">
        <v>800</v>
      </c>
      <c r="G18" s="418">
        <v>800</v>
      </c>
    </row>
    <row r="19" spans="1:7" x14ac:dyDescent="0.3">
      <c r="A19" s="355" t="s">
        <v>89</v>
      </c>
      <c r="B19" s="356"/>
      <c r="C19" s="356"/>
      <c r="D19" s="417">
        <v>1654.42</v>
      </c>
      <c r="E19" s="417">
        <v>1668.95</v>
      </c>
      <c r="F19" s="417">
        <v>1674.18</v>
      </c>
      <c r="G19" s="418">
        <v>1704.98</v>
      </c>
    </row>
    <row r="20" spans="1:7" x14ac:dyDescent="0.3">
      <c r="A20" s="355" t="s">
        <v>53</v>
      </c>
      <c r="B20" s="356"/>
      <c r="C20" s="356"/>
      <c r="D20" s="417">
        <v>1813.08</v>
      </c>
      <c r="E20" s="417">
        <v>1815.24</v>
      </c>
      <c r="F20" s="417">
        <v>1818.47</v>
      </c>
      <c r="G20" s="418">
        <v>1823.87</v>
      </c>
    </row>
    <row r="21" spans="1:7" x14ac:dyDescent="0.3">
      <c r="A21" s="355" t="s">
        <v>90</v>
      </c>
      <c r="B21" s="356"/>
      <c r="C21" s="356"/>
      <c r="D21" s="417">
        <v>515.67999999999995</v>
      </c>
      <c r="E21" s="417">
        <v>515.67999999999995</v>
      </c>
      <c r="F21" s="417">
        <v>515.67999999999995</v>
      </c>
      <c r="G21" s="418">
        <v>515.67999999999995</v>
      </c>
    </row>
    <row r="22" spans="1:7" x14ac:dyDescent="0.3">
      <c r="A22" s="355" t="s">
        <v>91</v>
      </c>
      <c r="B22" s="356"/>
      <c r="C22" s="356"/>
      <c r="D22" s="417">
        <v>0</v>
      </c>
      <c r="E22" s="417">
        <v>0</v>
      </c>
      <c r="F22" s="417">
        <v>0</v>
      </c>
      <c r="G22" s="418">
        <v>0</v>
      </c>
    </row>
    <row r="23" spans="1:7" x14ac:dyDescent="0.3">
      <c r="A23" s="355" t="s">
        <v>92</v>
      </c>
      <c r="B23" s="356"/>
      <c r="C23" s="356"/>
      <c r="D23" s="417">
        <v>0</v>
      </c>
      <c r="E23" s="417">
        <v>0</v>
      </c>
      <c r="F23" s="417">
        <v>0</v>
      </c>
      <c r="G23" s="418">
        <v>0</v>
      </c>
    </row>
    <row r="24" spans="1:7" x14ac:dyDescent="0.3">
      <c r="A24" s="355" t="str">
        <f>Graansorghum!A17</f>
        <v>Besproeiingskoste / Irrigation cost</v>
      </c>
      <c r="B24" s="356"/>
      <c r="C24" s="356"/>
      <c r="D24" s="417"/>
      <c r="E24" s="417"/>
      <c r="F24" s="417"/>
      <c r="G24" s="418"/>
    </row>
    <row r="25" spans="1:7" x14ac:dyDescent="0.3">
      <c r="A25" s="355" t="s">
        <v>93</v>
      </c>
      <c r="B25" s="356"/>
      <c r="C25" s="356"/>
      <c r="D25" s="417">
        <v>0</v>
      </c>
      <c r="E25" s="417">
        <v>0</v>
      </c>
      <c r="F25" s="417">
        <v>0</v>
      </c>
      <c r="G25" s="418">
        <v>0</v>
      </c>
    </row>
    <row r="26" spans="1:7" x14ac:dyDescent="0.3">
      <c r="A26" s="355" t="s">
        <v>94</v>
      </c>
      <c r="B26" s="356"/>
      <c r="C26" s="356"/>
      <c r="D26" s="417">
        <v>0</v>
      </c>
      <c r="E26" s="417">
        <v>0</v>
      </c>
      <c r="F26" s="417">
        <v>0</v>
      </c>
      <c r="G26" s="418">
        <v>0</v>
      </c>
    </row>
    <row r="27" spans="1:7" x14ac:dyDescent="0.3">
      <c r="A27" s="355" t="s">
        <v>95</v>
      </c>
      <c r="B27" s="356"/>
      <c r="C27" s="356"/>
      <c r="D27" s="417">
        <v>193.4436</v>
      </c>
      <c r="E27" s="417">
        <v>232.13231999999996</v>
      </c>
      <c r="F27" s="417">
        <v>290.16539999999998</v>
      </c>
      <c r="G27" s="418">
        <v>386.88720000000001</v>
      </c>
    </row>
    <row r="28" spans="1:7" x14ac:dyDescent="0.3">
      <c r="A28" s="355" t="s">
        <v>96</v>
      </c>
      <c r="B28" s="356"/>
      <c r="C28" s="356"/>
      <c r="D28" s="417">
        <v>0</v>
      </c>
      <c r="E28" s="417">
        <v>0</v>
      </c>
      <c r="F28" s="417">
        <v>0</v>
      </c>
      <c r="G28" s="418">
        <v>0</v>
      </c>
    </row>
    <row r="29" spans="1:7" x14ac:dyDescent="0.3">
      <c r="A29" s="355" t="s">
        <v>97</v>
      </c>
      <c r="B29" s="356"/>
      <c r="C29" s="356"/>
      <c r="D29" s="417">
        <v>1050</v>
      </c>
      <c r="E29" s="417">
        <v>1050</v>
      </c>
      <c r="F29" s="417">
        <v>1050</v>
      </c>
      <c r="G29" s="418">
        <v>0</v>
      </c>
    </row>
    <row r="30" spans="1:7" x14ac:dyDescent="0.3">
      <c r="A30" s="355" t="s">
        <v>98</v>
      </c>
      <c r="B30" s="356"/>
      <c r="C30" s="356"/>
      <c r="D30" s="417">
        <v>0</v>
      </c>
      <c r="E30" s="417">
        <v>0</v>
      </c>
      <c r="F30" s="417">
        <v>0</v>
      </c>
      <c r="G30" s="418">
        <v>0</v>
      </c>
    </row>
    <row r="31" spans="1:7" x14ac:dyDescent="0.3">
      <c r="A31" s="355" t="s">
        <v>99</v>
      </c>
      <c r="B31" s="356"/>
      <c r="C31" s="356"/>
      <c r="D31" s="417">
        <v>206</v>
      </c>
      <c r="E31" s="417">
        <v>247</v>
      </c>
      <c r="F31" s="417">
        <v>309</v>
      </c>
      <c r="G31" s="418">
        <v>350</v>
      </c>
    </row>
    <row r="32" spans="1:7" ht="15" thickBot="1" x14ac:dyDescent="0.35">
      <c r="A32" s="355" t="s">
        <v>100</v>
      </c>
      <c r="B32" s="356"/>
      <c r="C32" s="356"/>
      <c r="D32" s="417">
        <v>505.48528220750012</v>
      </c>
      <c r="E32" s="417">
        <v>516.50448550750002</v>
      </c>
      <c r="F32" s="417">
        <v>537.37224045750008</v>
      </c>
      <c r="G32" s="418">
        <v>493.91342995750006</v>
      </c>
    </row>
    <row r="33" spans="1:8" ht="15" thickBot="1" x14ac:dyDescent="0.35">
      <c r="A33" s="535" t="s">
        <v>66</v>
      </c>
      <c r="B33" s="546"/>
      <c r="C33" s="547"/>
      <c r="D33" s="365">
        <f>SUM(D16:D32)</f>
        <v>8964.3088822075006</v>
      </c>
      <c r="E33" s="365">
        <f>SUM(E16:E32)</f>
        <v>9196.2368055074985</v>
      </c>
      <c r="F33" s="365">
        <f>SUM(F16:F32)</f>
        <v>9619.7976404575002</v>
      </c>
      <c r="G33" s="365">
        <f>SUM(G16:G32)</f>
        <v>8907.8106299574993</v>
      </c>
    </row>
    <row r="34" spans="1:8" ht="15" thickBot="1" x14ac:dyDescent="0.35">
      <c r="A34" s="361"/>
      <c r="B34" s="362"/>
      <c r="C34" s="362"/>
      <c r="D34" s="419"/>
      <c r="E34" s="419"/>
      <c r="F34" s="419"/>
      <c r="G34" s="419"/>
    </row>
    <row r="35" spans="1:8" ht="13.5" customHeight="1" thickBot="1" x14ac:dyDescent="0.35">
      <c r="A35" s="548" t="s">
        <v>67</v>
      </c>
      <c r="B35" s="549"/>
      <c r="C35" s="550"/>
      <c r="D35" s="420">
        <v>7393.79</v>
      </c>
      <c r="E35" s="365">
        <v>7393.79</v>
      </c>
      <c r="F35" s="365">
        <v>7393.79</v>
      </c>
      <c r="G35" s="365">
        <v>7393.79</v>
      </c>
      <c r="H35" s="421"/>
    </row>
    <row r="36" spans="1:8" ht="15" thickBot="1" x14ac:dyDescent="0.35">
      <c r="A36" s="361"/>
      <c r="B36" s="362"/>
      <c r="C36" s="362"/>
      <c r="D36" s="419"/>
      <c r="E36" s="419"/>
      <c r="F36" s="419"/>
      <c r="G36" s="419"/>
    </row>
    <row r="37" spans="1:8" ht="15" thickBot="1" x14ac:dyDescent="0.35">
      <c r="A37" s="535" t="s">
        <v>68</v>
      </c>
      <c r="B37" s="546"/>
      <c r="C37" s="547"/>
      <c r="D37" s="365">
        <f>D33+D35</f>
        <v>16358.098882207501</v>
      </c>
      <c r="E37" s="365">
        <f t="shared" ref="E37:G37" si="0">E33+E35</f>
        <v>16590.026805507499</v>
      </c>
      <c r="F37" s="365">
        <f t="shared" si="0"/>
        <v>17013.587640457499</v>
      </c>
      <c r="G37" s="365">
        <f t="shared" si="0"/>
        <v>16301.600629957498</v>
      </c>
    </row>
    <row r="38" spans="1:8" ht="15" thickBot="1" x14ac:dyDescent="0.35">
      <c r="A38" s="347"/>
      <c r="B38" s="348"/>
      <c r="C38" s="348"/>
      <c r="D38" s="422"/>
      <c r="E38" s="422"/>
      <c r="F38" s="422"/>
      <c r="G38" s="422"/>
    </row>
    <row r="39" spans="1:8" ht="15" thickBot="1" x14ac:dyDescent="0.35">
      <c r="A39" s="535" t="s">
        <v>69</v>
      </c>
      <c r="B39" s="536"/>
      <c r="C39" s="537"/>
      <c r="D39" s="365">
        <f>D37/D12</f>
        <v>16358.098882207501</v>
      </c>
      <c r="E39" s="365">
        <f t="shared" ref="E39:G39" si="1">E37/E12</f>
        <v>13825.022337922917</v>
      </c>
      <c r="F39" s="365">
        <f t="shared" si="1"/>
        <v>11342.391760304999</v>
      </c>
      <c r="G39" s="365">
        <f t="shared" si="1"/>
        <v>8150.8003149787492</v>
      </c>
    </row>
    <row r="40" spans="1:8" ht="15" thickBot="1" x14ac:dyDescent="0.35">
      <c r="A40" s="411"/>
      <c r="B40" s="412"/>
      <c r="C40" s="412"/>
      <c r="D40" s="422"/>
      <c r="E40" s="422"/>
      <c r="F40" s="422"/>
      <c r="G40" s="422"/>
    </row>
    <row r="41" spans="1:8" ht="15" thickBot="1" x14ac:dyDescent="0.35">
      <c r="A41" s="423" t="s">
        <v>70</v>
      </c>
      <c r="B41" s="408"/>
      <c r="C41" s="408"/>
      <c r="D41" s="365">
        <f>'Pryse + Sensatiwiteitsanalise'!$D$8</f>
        <v>63</v>
      </c>
      <c r="E41" s="365">
        <f>'Pryse + Sensatiwiteitsanalise'!$D$8</f>
        <v>63</v>
      </c>
      <c r="F41" s="365">
        <f>'Pryse + Sensatiwiteitsanalise'!$D$8</f>
        <v>63</v>
      </c>
      <c r="G41" s="365">
        <f>'Pryse + Sensatiwiteitsanalise'!$D$8</f>
        <v>63</v>
      </c>
    </row>
    <row r="42" spans="1:8" ht="15" thickBot="1" x14ac:dyDescent="0.35">
      <c r="A42" s="411"/>
      <c r="B42" s="412"/>
      <c r="C42" s="412"/>
      <c r="D42" s="422"/>
      <c r="E42" s="422"/>
      <c r="F42" s="422"/>
      <c r="G42" s="422"/>
    </row>
    <row r="43" spans="1:8" ht="13.5" customHeight="1" thickBot="1" x14ac:dyDescent="0.35">
      <c r="A43" s="538" t="s">
        <v>71</v>
      </c>
      <c r="B43" s="539"/>
      <c r="C43" s="540"/>
      <c r="D43" s="424">
        <f t="shared" ref="D43:G43" si="2">D39+D41</f>
        <v>16421.098882207501</v>
      </c>
      <c r="E43" s="424">
        <f t="shared" si="2"/>
        <v>13888.022337922917</v>
      </c>
      <c r="F43" s="424">
        <f t="shared" si="2"/>
        <v>11405.391760304999</v>
      </c>
      <c r="G43" s="424">
        <f t="shared" si="2"/>
        <v>8213.8003149787492</v>
      </c>
    </row>
    <row r="44" spans="1:8" ht="15" thickBot="1" x14ac:dyDescent="0.35">
      <c r="A44" s="425" t="s">
        <v>72</v>
      </c>
      <c r="B44" s="426"/>
      <c r="C44" s="427"/>
      <c r="D44" s="424">
        <f>'Pryse + Sensatiwiteitsanalise'!B8</f>
        <v>21767</v>
      </c>
      <c r="E44" s="424">
        <f t="shared" ref="E44:G45" si="3">D44</f>
        <v>21767</v>
      </c>
      <c r="F44" s="424">
        <f t="shared" si="3"/>
        <v>21767</v>
      </c>
      <c r="G44" s="424">
        <f t="shared" si="3"/>
        <v>21767</v>
      </c>
    </row>
    <row r="45" spans="1:8" ht="15" thickBot="1" x14ac:dyDescent="0.35">
      <c r="A45" s="369" t="s">
        <v>112</v>
      </c>
      <c r="B45" s="370"/>
      <c r="C45" s="371"/>
      <c r="D45" s="424">
        <f>D10</f>
        <v>15844.27</v>
      </c>
      <c r="E45" s="424">
        <f t="shared" si="3"/>
        <v>15844.27</v>
      </c>
      <c r="F45" s="424">
        <f t="shared" si="3"/>
        <v>15844.27</v>
      </c>
      <c r="G45" s="424">
        <f t="shared" si="3"/>
        <v>15844.27</v>
      </c>
    </row>
    <row r="46" spans="1:8" s="328" customFormat="1" ht="15" thickBot="1" x14ac:dyDescent="0.35">
      <c r="D46" s="372"/>
      <c r="E46" s="372"/>
      <c r="F46" s="372"/>
      <c r="G46" s="372"/>
    </row>
    <row r="47" spans="1:8" s="373" customFormat="1" x14ac:dyDescent="0.3">
      <c r="A47" s="526" t="s">
        <v>73</v>
      </c>
      <c r="B47" s="527"/>
      <c r="C47" s="528"/>
      <c r="D47" s="323">
        <f>D13-D33</f>
        <v>7155.9911177924987</v>
      </c>
      <c r="E47" s="323">
        <f>E13-E33</f>
        <v>10148.123194492498</v>
      </c>
      <c r="F47" s="323">
        <f>F13-F33</f>
        <v>14560.652359542497</v>
      </c>
      <c r="G47" s="323">
        <f>G13-G33</f>
        <v>23332.789370042497</v>
      </c>
    </row>
    <row r="48" spans="1:8" s="373" customFormat="1" ht="15" thickBot="1" x14ac:dyDescent="0.35">
      <c r="A48" s="529" t="s">
        <v>74</v>
      </c>
      <c r="B48" s="530"/>
      <c r="C48" s="531"/>
      <c r="D48" s="324">
        <f>D13-D37</f>
        <v>-237.79888220750217</v>
      </c>
      <c r="E48" s="324">
        <f>E13-E37</f>
        <v>2754.3331944924976</v>
      </c>
      <c r="F48" s="324">
        <f>F13-F37</f>
        <v>7166.8623595424979</v>
      </c>
      <c r="G48" s="324">
        <f>G13-G37</f>
        <v>15938.9993700425</v>
      </c>
    </row>
    <row r="49" spans="1:8" s="328" customFormat="1" x14ac:dyDescent="0.3">
      <c r="A49" s="325" t="s">
        <v>178</v>
      </c>
      <c r="B49" s="374"/>
      <c r="C49" s="374"/>
      <c r="D49" s="374"/>
      <c r="E49" s="374"/>
      <c r="F49" s="374"/>
      <c r="G49" s="374"/>
      <c r="H49" s="376"/>
    </row>
    <row r="50" spans="1:8" s="328" customFormat="1" x14ac:dyDescent="0.3">
      <c r="A50" s="326" t="s">
        <v>76</v>
      </c>
      <c r="B50" s="377"/>
      <c r="C50" s="377"/>
      <c r="D50" s="377"/>
      <c r="E50" s="377"/>
      <c r="F50" s="377"/>
      <c r="G50" s="377"/>
      <c r="H50" s="376"/>
    </row>
    <row r="51" spans="1:8" s="328" customFormat="1" ht="15" thickBot="1" x14ac:dyDescent="0.35">
      <c r="A51" s="327" t="s">
        <v>77</v>
      </c>
      <c r="B51" s="379"/>
      <c r="C51" s="379"/>
      <c r="D51" s="379"/>
      <c r="E51" s="379"/>
      <c r="F51" s="379"/>
      <c r="G51" s="379"/>
      <c r="H51" s="376"/>
    </row>
  </sheetData>
  <mergeCells count="11">
    <mergeCell ref="A47:C47"/>
    <mergeCell ref="A48:C48"/>
    <mergeCell ref="A1:D1"/>
    <mergeCell ref="E1:G1"/>
    <mergeCell ref="A39:C39"/>
    <mergeCell ref="A43:C43"/>
    <mergeCell ref="A10:C10"/>
    <mergeCell ref="A15:C15"/>
    <mergeCell ref="A33:C33"/>
    <mergeCell ref="A35:C35"/>
    <mergeCell ref="A37:C37"/>
  </mergeCells>
  <conditionalFormatting sqref="D47:G48">
    <cfRule type="colorScale" priority="74">
      <colorScale>
        <cfvo type="min"/>
        <cfvo type="percentile" val="50"/>
        <cfvo type="max"/>
        <color rgb="FFF8696B"/>
        <color rgb="FFFFEB84"/>
        <color rgb="FF63BE7B"/>
      </colorScale>
    </cfRule>
    <cfRule type="colorScale" priority="75">
      <colorScale>
        <cfvo type="min"/>
        <cfvo type="percentile" val="50"/>
        <cfvo type="max"/>
        <color rgb="FFF8696B"/>
        <color rgb="FFFFEB84"/>
        <color rgb="FF63BE7B"/>
      </colorScale>
    </cfRule>
    <cfRule type="colorScale" priority="76">
      <colorScale>
        <cfvo type="min"/>
        <cfvo type="percentile" val="50"/>
        <cfvo type="max"/>
        <color rgb="FFF8696B"/>
        <color rgb="FFFFEB84"/>
        <color rgb="FF63BE7B"/>
      </colorScale>
    </cfRule>
  </conditionalFormatting>
  <pageMargins left="0.31496062992125984" right="0.31496062992125984" top="0.55118110236220474" bottom="0.55118110236220474" header="0.31496062992125984" footer="0.31496062992125984"/>
  <pageSetup paperSize="9" scale="60" fitToHeight="0" orientation="portrait"/>
  <headerFooter>
    <oddHeader>&amp;F</oddHeader>
    <oddFooter>&amp;A&amp;RPage &amp;P</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E4D9B-0CC8-4ECF-A27C-0EAD28287497}">
  <sheetPr>
    <pageSetUpPr fitToPage="1"/>
  </sheetPr>
  <dimension ref="A1:Y47"/>
  <sheetViews>
    <sheetView topLeftCell="A17" zoomScale="80" zoomScaleNormal="80" workbookViewId="0">
      <selection activeCell="AB40" sqref="AB40"/>
    </sheetView>
  </sheetViews>
  <sheetFormatPr defaultColWidth="9.109375" defaultRowHeight="14.4" x14ac:dyDescent="0.3"/>
  <cols>
    <col min="1" max="1" width="42.6640625" style="328" customWidth="1"/>
    <col min="2" max="2" width="15.6640625" style="328" bestFit="1" customWidth="1"/>
    <col min="3" max="3" width="37" style="328" customWidth="1"/>
    <col min="4" max="5" width="12.33203125" style="328" bestFit="1" customWidth="1"/>
    <col min="6" max="7" width="11.77734375" style="328" bestFit="1" customWidth="1"/>
    <col min="8" max="8" width="14.44140625" style="328" customWidth="1"/>
    <col min="9" max="9" width="12.6640625" style="328" customWidth="1"/>
    <col min="10" max="25" width="12.6640625" style="328" hidden="1" customWidth="1"/>
    <col min="26" max="26" width="9.109375" style="328" customWidth="1"/>
    <col min="27" max="16384" width="9.109375" style="328"/>
  </cols>
  <sheetData>
    <row r="1" spans="1:7" ht="34.5" customHeight="1" thickBot="1" x14ac:dyDescent="0.35">
      <c r="A1" s="532" t="s">
        <v>175</v>
      </c>
      <c r="B1" s="533"/>
      <c r="C1" s="533"/>
      <c r="D1" s="533"/>
      <c r="E1" s="534" t="s">
        <v>43</v>
      </c>
      <c r="F1" s="534"/>
      <c r="G1" s="534"/>
    </row>
    <row r="2" spans="1:7" ht="15" thickBot="1" x14ac:dyDescent="0.35">
      <c r="A2" s="329"/>
      <c r="B2" s="330"/>
      <c r="C2" s="331"/>
      <c r="D2" s="331"/>
      <c r="E2" s="331"/>
      <c r="F2" s="331"/>
      <c r="G2" s="331"/>
    </row>
    <row r="3" spans="1:7" ht="27" customHeight="1" thickBot="1" x14ac:dyDescent="0.35">
      <c r="A3" s="535" t="s">
        <v>44</v>
      </c>
      <c r="B3" s="536"/>
      <c r="C3" s="536"/>
      <c r="D3" s="332"/>
      <c r="E3" s="333">
        <f>'Pryse + Sensatiwiteitsanalise'!B24</f>
        <v>3413.71</v>
      </c>
      <c r="F3" s="332" t="s">
        <v>45</v>
      </c>
      <c r="G3" s="334"/>
    </row>
    <row r="4" spans="1:7" ht="15" thickBot="1" x14ac:dyDescent="0.35">
      <c r="A4" s="335"/>
      <c r="B4" s="336"/>
      <c r="C4" s="336"/>
      <c r="D4" s="337"/>
      <c r="E4" s="338"/>
      <c r="F4" s="339"/>
      <c r="G4" s="340"/>
    </row>
    <row r="5" spans="1:7" ht="15" thickBot="1" x14ac:dyDescent="0.35">
      <c r="A5" s="335" t="s">
        <v>46</v>
      </c>
      <c r="B5" s="336"/>
      <c r="C5" s="336"/>
      <c r="D5" s="341">
        <v>9</v>
      </c>
      <c r="E5" s="341">
        <v>11</v>
      </c>
      <c r="F5" s="341">
        <v>14</v>
      </c>
      <c r="G5" s="342">
        <v>20</v>
      </c>
    </row>
    <row r="6" spans="1:7" ht="15" thickBot="1" x14ac:dyDescent="0.35">
      <c r="A6" s="343" t="s">
        <v>47</v>
      </c>
      <c r="B6" s="344"/>
      <c r="C6" s="345"/>
      <c r="D6" s="346">
        <v>30693.69</v>
      </c>
      <c r="E6" s="346">
        <v>37514.509999999995</v>
      </c>
      <c r="F6" s="346">
        <v>47745.74</v>
      </c>
      <c r="G6" s="346">
        <v>68208.2</v>
      </c>
    </row>
    <row r="7" spans="1:7" ht="15" thickBot="1" x14ac:dyDescent="0.35">
      <c r="A7" s="347"/>
      <c r="B7" s="348"/>
      <c r="C7" s="348"/>
      <c r="D7" s="349"/>
      <c r="E7" s="349"/>
      <c r="F7" s="349"/>
      <c r="G7" s="349"/>
    </row>
    <row r="8" spans="1:7" ht="15" thickBot="1" x14ac:dyDescent="0.35">
      <c r="A8" s="552" t="s">
        <v>48</v>
      </c>
      <c r="B8" s="553"/>
      <c r="C8" s="554"/>
      <c r="D8" s="350"/>
      <c r="E8" s="350"/>
      <c r="F8" s="350"/>
      <c r="G8" s="350"/>
    </row>
    <row r="9" spans="1:7" x14ac:dyDescent="0.3">
      <c r="A9" s="351" t="s">
        <v>86</v>
      </c>
      <c r="B9" s="352"/>
      <c r="C9" s="352"/>
      <c r="D9" s="353">
        <v>4210.9138124999999</v>
      </c>
      <c r="E9" s="353">
        <v>4210.9138124999999</v>
      </c>
      <c r="F9" s="353">
        <v>4210.9138124999999</v>
      </c>
      <c r="G9" s="354">
        <v>4210.9138124999999</v>
      </c>
    </row>
    <row r="10" spans="1:7" x14ac:dyDescent="0.3">
      <c r="A10" s="355" t="s">
        <v>87</v>
      </c>
      <c r="B10" s="356"/>
      <c r="C10" s="356"/>
      <c r="D10" s="357">
        <v>13948.66</v>
      </c>
      <c r="E10" s="357">
        <v>17026.14</v>
      </c>
      <c r="F10" s="357">
        <v>21642.36</v>
      </c>
      <c r="G10" s="358">
        <v>30874.799999999999</v>
      </c>
    </row>
    <row r="11" spans="1:7" x14ac:dyDescent="0.3">
      <c r="A11" s="355" t="s">
        <v>88</v>
      </c>
      <c r="B11" s="356"/>
      <c r="C11" s="356"/>
      <c r="D11" s="357">
        <v>800</v>
      </c>
      <c r="E11" s="357">
        <v>800</v>
      </c>
      <c r="F11" s="357">
        <v>800</v>
      </c>
      <c r="G11" s="358">
        <v>800</v>
      </c>
    </row>
    <row r="12" spans="1:7" x14ac:dyDescent="0.3">
      <c r="A12" s="355" t="s">
        <v>89</v>
      </c>
      <c r="B12" s="356"/>
      <c r="C12" s="356"/>
      <c r="D12" s="357">
        <v>1731.7767679999999</v>
      </c>
      <c r="E12" s="357">
        <v>1831.1367679999998</v>
      </c>
      <c r="F12" s="357">
        <v>1974.6567679999998</v>
      </c>
      <c r="G12" s="358">
        <v>2250.6567679999998</v>
      </c>
    </row>
    <row r="13" spans="1:7" x14ac:dyDescent="0.3">
      <c r="A13" s="355" t="s">
        <v>53</v>
      </c>
      <c r="B13" s="356"/>
      <c r="C13" s="356"/>
      <c r="D13" s="357">
        <v>1391.2954</v>
      </c>
      <c r="E13" s="357">
        <v>1410.8087333333333</v>
      </c>
      <c r="F13" s="357">
        <v>1439.8287333333333</v>
      </c>
      <c r="G13" s="358">
        <v>1497.3687333333332</v>
      </c>
    </row>
    <row r="14" spans="1:7" x14ac:dyDescent="0.3">
      <c r="A14" s="355" t="s">
        <v>90</v>
      </c>
      <c r="B14" s="356"/>
      <c r="C14" s="356"/>
      <c r="D14" s="357">
        <v>1352.174</v>
      </c>
      <c r="E14" s="357">
        <v>1352.174</v>
      </c>
      <c r="F14" s="357">
        <v>1352.174</v>
      </c>
      <c r="G14" s="358">
        <v>1352.174</v>
      </c>
    </row>
    <row r="15" spans="1:7" x14ac:dyDescent="0.3">
      <c r="A15" s="355" t="s">
        <v>91</v>
      </c>
      <c r="B15" s="356"/>
      <c r="C15" s="356"/>
      <c r="D15" s="357">
        <v>840.66499999999996</v>
      </c>
      <c r="E15" s="357">
        <v>840.66499999999996</v>
      </c>
      <c r="F15" s="357">
        <v>840.66499999999996</v>
      </c>
      <c r="G15" s="358">
        <v>840.66499999999996</v>
      </c>
    </row>
    <row r="16" spans="1:7" x14ac:dyDescent="0.3">
      <c r="A16" s="355" t="s">
        <v>92</v>
      </c>
      <c r="B16" s="356"/>
      <c r="C16" s="356"/>
      <c r="D16" s="357"/>
      <c r="E16" s="357"/>
      <c r="F16" s="357"/>
      <c r="G16" s="358"/>
    </row>
    <row r="17" spans="1:8" x14ac:dyDescent="0.3">
      <c r="A17" s="355" t="s">
        <v>57</v>
      </c>
      <c r="B17" s="356"/>
      <c r="C17" s="356"/>
      <c r="D17" s="357">
        <v>7228.4</v>
      </c>
      <c r="E17" s="357">
        <v>7888.4</v>
      </c>
      <c r="F17" s="357">
        <v>8548.4</v>
      </c>
      <c r="G17" s="358">
        <v>8548.4</v>
      </c>
    </row>
    <row r="18" spans="1:8" x14ac:dyDescent="0.3">
      <c r="A18" s="355" t="s">
        <v>93</v>
      </c>
      <c r="B18" s="356"/>
      <c r="C18" s="356"/>
      <c r="D18" s="357">
        <v>2920.6334612087658</v>
      </c>
      <c r="E18" s="357">
        <v>3285.0764486940338</v>
      </c>
      <c r="F18" s="357">
        <v>3801.3528355905482</v>
      </c>
      <c r="G18" s="358">
        <v>4713.3976333106239</v>
      </c>
    </row>
    <row r="19" spans="1:8" x14ac:dyDescent="0.3">
      <c r="A19" s="355" t="s">
        <v>94</v>
      </c>
      <c r="B19" s="356"/>
      <c r="C19" s="356"/>
      <c r="D19" s="357"/>
      <c r="E19" s="357"/>
      <c r="F19" s="357"/>
      <c r="G19" s="358"/>
    </row>
    <row r="20" spans="1:8" x14ac:dyDescent="0.3">
      <c r="A20" s="355" t="s">
        <v>95</v>
      </c>
      <c r="B20" s="356"/>
      <c r="C20" s="356"/>
      <c r="D20" s="357">
        <v>767.34225000000004</v>
      </c>
      <c r="E20" s="357">
        <v>937.86274999999989</v>
      </c>
      <c r="F20" s="357">
        <v>1193.6434999999999</v>
      </c>
      <c r="G20" s="358">
        <v>1705.2049999999999</v>
      </c>
    </row>
    <row r="21" spans="1:8" x14ac:dyDescent="0.3">
      <c r="A21" s="355" t="s">
        <v>96</v>
      </c>
      <c r="B21" s="356"/>
      <c r="C21" s="356"/>
      <c r="D21" s="357"/>
      <c r="E21" s="357"/>
      <c r="F21" s="357"/>
      <c r="G21" s="358"/>
    </row>
    <row r="22" spans="1:8" s="359" customFormat="1" x14ac:dyDescent="0.3">
      <c r="A22" s="355" t="s">
        <v>97</v>
      </c>
      <c r="B22" s="356"/>
      <c r="C22" s="356"/>
      <c r="D22" s="357"/>
      <c r="E22" s="357"/>
      <c r="F22" s="357"/>
      <c r="G22" s="358"/>
      <c r="H22" s="328"/>
    </row>
    <row r="23" spans="1:8" s="359" customFormat="1" x14ac:dyDescent="0.3">
      <c r="A23" s="355" t="s">
        <v>98</v>
      </c>
      <c r="B23" s="356"/>
      <c r="C23" s="356"/>
      <c r="D23" s="357"/>
      <c r="E23" s="357"/>
      <c r="F23" s="357"/>
      <c r="G23" s="358"/>
      <c r="H23" s="328"/>
    </row>
    <row r="24" spans="1:8" s="359" customFormat="1" x14ac:dyDescent="0.3">
      <c r="A24" s="355" t="s">
        <v>99</v>
      </c>
      <c r="B24" s="356"/>
      <c r="C24" s="356"/>
      <c r="D24" s="357"/>
      <c r="E24" s="357"/>
      <c r="F24" s="357"/>
      <c r="G24" s="358"/>
      <c r="H24" s="328"/>
    </row>
    <row r="25" spans="1:8" s="359" customFormat="1" ht="15" thickBot="1" x14ac:dyDescent="0.35">
      <c r="A25" s="355" t="s">
        <v>100</v>
      </c>
      <c r="B25" s="356"/>
      <c r="C25" s="356"/>
      <c r="D25" s="357">
        <v>2155.5014673671621</v>
      </c>
      <c r="E25" s="357">
        <v>2424.4696226423011</v>
      </c>
      <c r="F25" s="357">
        <v>2805.4946722772129</v>
      </c>
      <c r="G25" s="358">
        <v>3478.6068330125677</v>
      </c>
      <c r="H25" s="328"/>
    </row>
    <row r="26" spans="1:8" s="359" customFormat="1" ht="15" thickBot="1" x14ac:dyDescent="0.35">
      <c r="A26" s="535" t="s">
        <v>66</v>
      </c>
      <c r="B26" s="546"/>
      <c r="C26" s="547"/>
      <c r="D26" s="360">
        <f>SUM(D9:D25)</f>
        <v>37347.362159075929</v>
      </c>
      <c r="E26" s="360">
        <f t="shared" ref="E26:G26" si="0">SUM(E9:E25)</f>
        <v>42007.647135169667</v>
      </c>
      <c r="F26" s="360">
        <f t="shared" si="0"/>
        <v>48609.489321701098</v>
      </c>
      <c r="G26" s="360">
        <f t="shared" si="0"/>
        <v>60272.187780156535</v>
      </c>
      <c r="H26" s="328"/>
    </row>
    <row r="27" spans="1:8" s="359" customFormat="1" ht="15" thickBot="1" x14ac:dyDescent="0.35">
      <c r="A27" s="361"/>
      <c r="B27" s="362"/>
      <c r="C27" s="362"/>
      <c r="D27" s="363"/>
      <c r="E27" s="363"/>
      <c r="F27" s="363"/>
      <c r="G27" s="363"/>
      <c r="H27" s="328"/>
    </row>
    <row r="28" spans="1:8" ht="15" thickBot="1" x14ac:dyDescent="0.35">
      <c r="A28" s="548" t="s">
        <v>67</v>
      </c>
      <c r="B28" s="549"/>
      <c r="C28" s="550"/>
      <c r="D28" s="364">
        <v>7910.6900000000005</v>
      </c>
      <c r="E28" s="365">
        <v>7910.6900000000005</v>
      </c>
      <c r="F28" s="365">
        <v>7910.6900000000005</v>
      </c>
      <c r="G28" s="360">
        <v>7910.6900000000005</v>
      </c>
      <c r="H28" s="366"/>
    </row>
    <row r="29" spans="1:8" ht="15" thickBot="1" x14ac:dyDescent="0.35">
      <c r="A29" s="361"/>
      <c r="B29" s="362"/>
      <c r="C29" s="362"/>
      <c r="D29" s="363"/>
      <c r="E29" s="363"/>
      <c r="F29" s="363"/>
      <c r="G29" s="363"/>
    </row>
    <row r="30" spans="1:8" ht="15" thickBot="1" x14ac:dyDescent="0.35">
      <c r="A30" s="535" t="s">
        <v>68</v>
      </c>
      <c r="B30" s="546"/>
      <c r="C30" s="547"/>
      <c r="D30" s="360">
        <f>D26+D28</f>
        <v>45258.052159075931</v>
      </c>
      <c r="E30" s="360">
        <f t="shared" ref="E30:G30" si="1">E26+E28</f>
        <v>49918.33713516967</v>
      </c>
      <c r="F30" s="360">
        <f t="shared" si="1"/>
        <v>56520.1793217011</v>
      </c>
      <c r="G30" s="360">
        <f t="shared" si="1"/>
        <v>68182.87778015653</v>
      </c>
    </row>
    <row r="31" spans="1:8" ht="15" thickBot="1" x14ac:dyDescent="0.35">
      <c r="A31" s="347"/>
      <c r="B31" s="348"/>
      <c r="C31" s="348"/>
      <c r="D31" s="367"/>
      <c r="E31" s="367"/>
      <c r="F31" s="367"/>
      <c r="G31" s="367"/>
    </row>
    <row r="32" spans="1:8" ht="15" thickBot="1" x14ac:dyDescent="0.35">
      <c r="A32" s="535" t="s">
        <v>69</v>
      </c>
      <c r="B32" s="536"/>
      <c r="C32" s="537"/>
      <c r="D32" s="360">
        <f>D30/D5</f>
        <v>5028.6724621195481</v>
      </c>
      <c r="E32" s="360">
        <f t="shared" ref="E32:G32" si="2">E30/E5</f>
        <v>4538.0306486517884</v>
      </c>
      <c r="F32" s="360">
        <f t="shared" si="2"/>
        <v>4037.1556658357927</v>
      </c>
      <c r="G32" s="360">
        <f t="shared" si="2"/>
        <v>3409.1438890078266</v>
      </c>
    </row>
    <row r="33" spans="1:8" ht="15" thickBot="1" x14ac:dyDescent="0.35">
      <c r="A33" s="347"/>
      <c r="B33" s="348"/>
      <c r="C33" s="348"/>
      <c r="D33" s="367"/>
      <c r="E33" s="367"/>
      <c r="F33" s="367"/>
      <c r="G33" s="367"/>
    </row>
    <row r="34" spans="1:8" ht="15" thickBot="1" x14ac:dyDescent="0.35">
      <c r="A34" s="343" t="s">
        <v>70</v>
      </c>
      <c r="B34" s="344"/>
      <c r="C34" s="344"/>
      <c r="D34" s="360">
        <f>'Pryse + Sensatiwiteitsanalise'!$D$4</f>
        <v>386.29</v>
      </c>
      <c r="E34" s="360">
        <f>'Pryse + Sensatiwiteitsanalise'!$D$4</f>
        <v>386.29</v>
      </c>
      <c r="F34" s="360">
        <f>'Pryse + Sensatiwiteitsanalise'!$D$4</f>
        <v>386.29</v>
      </c>
      <c r="G34" s="360">
        <v>0</v>
      </c>
    </row>
    <row r="35" spans="1:8" ht="15" thickBot="1" x14ac:dyDescent="0.35">
      <c r="A35" s="347"/>
      <c r="B35" s="348"/>
      <c r="C35" s="348"/>
      <c r="D35" s="367"/>
      <c r="E35" s="367"/>
      <c r="F35" s="367"/>
      <c r="G35" s="367"/>
    </row>
    <row r="36" spans="1:8" ht="15" thickBot="1" x14ac:dyDescent="0.35">
      <c r="A36" s="532" t="s">
        <v>71</v>
      </c>
      <c r="B36" s="564"/>
      <c r="C36" s="565"/>
      <c r="D36" s="368">
        <f>D32+D34</f>
        <v>5414.962462119548</v>
      </c>
      <c r="E36" s="368">
        <f t="shared" ref="E36:G36" si="3">E32+E34</f>
        <v>4924.3206486517884</v>
      </c>
      <c r="F36" s="368">
        <f t="shared" si="3"/>
        <v>4423.4456658357931</v>
      </c>
      <c r="G36" s="368">
        <f t="shared" si="3"/>
        <v>3409.1438890078266</v>
      </c>
    </row>
    <row r="37" spans="1:8" ht="15" thickBot="1" x14ac:dyDescent="0.35">
      <c r="A37" s="369" t="s">
        <v>72</v>
      </c>
      <c r="B37" s="370"/>
      <c r="C37" s="371"/>
      <c r="D37" s="368">
        <f>'Pryse + Sensatiwiteitsanalise'!B4</f>
        <v>3800</v>
      </c>
      <c r="E37" s="368">
        <f>D37</f>
        <v>3800</v>
      </c>
      <c r="F37" s="368">
        <f>D37</f>
        <v>3800</v>
      </c>
      <c r="G37" s="368">
        <f>E37</f>
        <v>3800</v>
      </c>
    </row>
    <row r="38" spans="1:8" ht="15" thickBot="1" x14ac:dyDescent="0.35">
      <c r="D38" s="372"/>
      <c r="E38" s="372"/>
      <c r="F38" s="372"/>
      <c r="G38" s="372"/>
    </row>
    <row r="39" spans="1:8" s="373" customFormat="1" x14ac:dyDescent="0.3">
      <c r="A39" s="526" t="s">
        <v>73</v>
      </c>
      <c r="B39" s="527"/>
      <c r="C39" s="528"/>
      <c r="D39" s="323">
        <f>D6-D26</f>
        <v>-6653.6721590759298</v>
      </c>
      <c r="E39" s="323">
        <f>E6-E26</f>
        <v>-4493.1371351696725</v>
      </c>
      <c r="F39" s="323">
        <f>F6-F26</f>
        <v>-863.74932170109969</v>
      </c>
      <c r="G39" s="323">
        <f>G6-G26</f>
        <v>7936.0122198434619</v>
      </c>
    </row>
    <row r="40" spans="1:8" s="373" customFormat="1" ht="15" thickBot="1" x14ac:dyDescent="0.35">
      <c r="A40" s="529" t="s">
        <v>74</v>
      </c>
      <c r="B40" s="530"/>
      <c r="C40" s="531"/>
      <c r="D40" s="324">
        <f>D6-D30</f>
        <v>-14564.362159075932</v>
      </c>
      <c r="E40" s="324">
        <f>E6-E30</f>
        <v>-12403.827135169675</v>
      </c>
      <c r="F40" s="324">
        <f>F6-F30</f>
        <v>-8774.439321701102</v>
      </c>
      <c r="G40" s="324">
        <f>G6-G30</f>
        <v>25.322219843466883</v>
      </c>
    </row>
    <row r="41" spans="1:8" x14ac:dyDescent="0.3">
      <c r="A41" s="325" t="s">
        <v>178</v>
      </c>
      <c r="B41" s="374"/>
      <c r="C41" s="374"/>
      <c r="D41" s="374"/>
      <c r="E41" s="374"/>
      <c r="F41" s="374"/>
      <c r="G41" s="375"/>
      <c r="H41" s="376"/>
    </row>
    <row r="42" spans="1:8" x14ac:dyDescent="0.3">
      <c r="A42" s="326" t="s">
        <v>76</v>
      </c>
      <c r="B42" s="377"/>
      <c r="C42" s="377"/>
      <c r="D42" s="377"/>
      <c r="E42" s="377"/>
      <c r="F42" s="377"/>
      <c r="G42" s="378"/>
      <c r="H42" s="376"/>
    </row>
    <row r="43" spans="1:8" ht="15" thickBot="1" x14ac:dyDescent="0.35">
      <c r="A43" s="327" t="s">
        <v>77</v>
      </c>
      <c r="B43" s="379"/>
      <c r="C43" s="379"/>
      <c r="D43" s="379"/>
      <c r="E43" s="379"/>
      <c r="F43" s="379"/>
      <c r="G43" s="380"/>
      <c r="H43" s="376"/>
    </row>
    <row r="44" spans="1:8" x14ac:dyDescent="0.3">
      <c r="A44" s="555" t="s">
        <v>78</v>
      </c>
      <c r="B44" s="556"/>
      <c r="C44" s="556"/>
      <c r="D44" s="556"/>
      <c r="E44" s="556"/>
      <c r="F44" s="556"/>
      <c r="G44" s="557"/>
    </row>
    <row r="45" spans="1:8" x14ac:dyDescent="0.3">
      <c r="A45" s="558"/>
      <c r="B45" s="559"/>
      <c r="C45" s="559"/>
      <c r="D45" s="559"/>
      <c r="E45" s="559"/>
      <c r="F45" s="559"/>
      <c r="G45" s="560"/>
    </row>
    <row r="46" spans="1:8" x14ac:dyDescent="0.3">
      <c r="A46" s="558"/>
      <c r="B46" s="559"/>
      <c r="C46" s="559"/>
      <c r="D46" s="559"/>
      <c r="E46" s="559"/>
      <c r="F46" s="559"/>
      <c r="G46" s="560"/>
    </row>
    <row r="47" spans="1:8" ht="15" thickBot="1" x14ac:dyDescent="0.35">
      <c r="A47" s="561"/>
      <c r="B47" s="562"/>
      <c r="C47" s="562"/>
      <c r="D47" s="562"/>
      <c r="E47" s="562"/>
      <c r="F47" s="562"/>
      <c r="G47" s="563"/>
    </row>
  </sheetData>
  <mergeCells count="12">
    <mergeCell ref="A39:C39"/>
    <mergeCell ref="A40:C40"/>
    <mergeCell ref="A44:G47"/>
    <mergeCell ref="A1:D1"/>
    <mergeCell ref="E1:G1"/>
    <mergeCell ref="A36:C36"/>
    <mergeCell ref="A3:C3"/>
    <mergeCell ref="A8:C8"/>
    <mergeCell ref="A26:C26"/>
    <mergeCell ref="A28:C28"/>
    <mergeCell ref="A30:C30"/>
    <mergeCell ref="A32:C32"/>
  </mergeCells>
  <phoneticPr fontId="0" type="noConversion"/>
  <conditionalFormatting sqref="D39:G40">
    <cfRule type="colorScale" priority="77">
      <colorScale>
        <cfvo type="min"/>
        <cfvo type="percentile" val="50"/>
        <cfvo type="max"/>
        <color rgb="FFF8696B"/>
        <color rgb="FFFFEB84"/>
        <color rgb="FF63BE7B"/>
      </colorScale>
    </cfRule>
    <cfRule type="colorScale" priority="78">
      <colorScale>
        <cfvo type="min"/>
        <cfvo type="percentile" val="50"/>
        <cfvo type="max"/>
        <color rgb="FFF8696B"/>
        <color rgb="FFFFEB84"/>
        <color rgb="FF63BE7B"/>
      </colorScale>
    </cfRule>
    <cfRule type="colorScale" priority="79">
      <colorScale>
        <cfvo type="min"/>
        <cfvo type="percentile" val="50"/>
        <cfvo type="max"/>
        <color rgb="FFF8696B"/>
        <color rgb="FFFFEB84"/>
        <color rgb="FF63BE7B"/>
      </colorScale>
    </cfRule>
  </conditionalFormatting>
  <pageMargins left="0.35433070866141736" right="0.35433070866141736" top="0.59055118110236227" bottom="0.59055118110236227" header="0.31496062992125984" footer="0.31496062992125984"/>
  <pageSetup paperSize="9" scale="61" fitToHeight="0" orientation="portrait"/>
  <headerFooter alignWithMargins="0">
    <oddHeader>&amp;F</oddHeader>
    <oddFooter>&amp;A&amp;RPage &amp;P</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ED991-4C83-42D7-87A3-CAD12D2AAAC0}">
  <dimension ref="A1:O86"/>
  <sheetViews>
    <sheetView zoomScale="80" zoomScaleNormal="80" workbookViewId="0">
      <selection activeCell="J65" sqref="J65"/>
    </sheetView>
  </sheetViews>
  <sheetFormatPr defaultColWidth="9.109375" defaultRowHeight="13.2" x14ac:dyDescent="0.25"/>
  <cols>
    <col min="1" max="1" width="67.21875" bestFit="1" customWidth="1"/>
    <col min="2" max="2" width="21.109375" bestFit="1" customWidth="1"/>
    <col min="3" max="3" width="12.44140625" bestFit="1" customWidth="1"/>
    <col min="4" max="4" width="13.21875" bestFit="1" customWidth="1"/>
    <col min="5" max="5" width="12.44140625" bestFit="1" customWidth="1"/>
    <col min="6" max="7" width="14.33203125" customWidth="1"/>
    <col min="8" max="8" width="11.6640625" bestFit="1" customWidth="1"/>
    <col min="9" max="9" width="9.109375" customWidth="1"/>
    <col min="10" max="10" width="57.44140625" bestFit="1" customWidth="1"/>
    <col min="11" max="11" width="14.88671875" customWidth="1"/>
    <col min="12" max="12" width="22.33203125" customWidth="1"/>
    <col min="14" max="14" width="16.6640625" customWidth="1"/>
    <col min="15" max="15" width="9.88671875" customWidth="1"/>
    <col min="16" max="16" width="8.33203125" bestFit="1" customWidth="1"/>
  </cols>
  <sheetData>
    <row r="1" spans="1:12" ht="14.4" x14ac:dyDescent="0.3">
      <c r="A1" s="273" t="s">
        <v>176</v>
      </c>
      <c r="B1" s="274"/>
      <c r="C1" s="274"/>
      <c r="D1" s="274"/>
      <c r="E1" s="274"/>
      <c r="F1" s="274"/>
      <c r="G1" s="274"/>
      <c r="H1" s="274"/>
      <c r="I1" s="71"/>
    </row>
    <row r="2" spans="1:12" ht="16.2" customHeight="1" x14ac:dyDescent="0.3">
      <c r="A2" s="275" t="s">
        <v>113</v>
      </c>
      <c r="B2" s="276" t="s">
        <v>114</v>
      </c>
      <c r="C2" s="277" t="s">
        <v>115</v>
      </c>
      <c r="D2" s="277" t="s">
        <v>116</v>
      </c>
      <c r="E2" s="277" t="s">
        <v>117</v>
      </c>
      <c r="F2" s="277" t="s">
        <v>118</v>
      </c>
      <c r="G2" s="277" t="s">
        <v>119</v>
      </c>
      <c r="H2" s="277" t="s">
        <v>120</v>
      </c>
      <c r="I2" s="71"/>
      <c r="J2" s="141" t="s">
        <v>121</v>
      </c>
    </row>
    <row r="3" spans="1:12" ht="14.4" x14ac:dyDescent="0.3">
      <c r="A3" s="278" t="s">
        <v>122</v>
      </c>
      <c r="B3" s="279"/>
      <c r="C3" s="280"/>
      <c r="D3" s="280"/>
      <c r="E3" s="280"/>
      <c r="F3" s="280"/>
      <c r="G3" s="280"/>
      <c r="H3" s="280"/>
      <c r="I3" s="71"/>
      <c r="J3" s="214" t="s">
        <v>123</v>
      </c>
      <c r="K3" s="211">
        <v>4.0999999999999996</v>
      </c>
    </row>
    <row r="4" spans="1:12" ht="14.4" x14ac:dyDescent="0.3">
      <c r="A4" s="288" t="s">
        <v>124</v>
      </c>
      <c r="B4" s="440">
        <v>4.0999999999999996</v>
      </c>
      <c r="C4" s="441">
        <f>K3</f>
        <v>4.0999999999999996</v>
      </c>
      <c r="D4" s="441">
        <f>K5</f>
        <v>1.3089999999999999</v>
      </c>
      <c r="E4" s="441">
        <f>K4</f>
        <v>2.23</v>
      </c>
      <c r="F4" s="441">
        <f>K6</f>
        <v>2.6</v>
      </c>
      <c r="G4" s="441">
        <f>K7</f>
        <v>1.097</v>
      </c>
      <c r="H4" s="441">
        <v>9</v>
      </c>
      <c r="I4" s="71"/>
      <c r="J4" s="210" t="s">
        <v>125</v>
      </c>
      <c r="K4" s="211">
        <v>2.23</v>
      </c>
    </row>
    <row r="5" spans="1:12" s="82" customFormat="1" ht="14.4" x14ac:dyDescent="0.3">
      <c r="A5" s="288" t="s">
        <v>126</v>
      </c>
      <c r="B5" s="442">
        <f>'Pryse + Sensatiwiteitsanalise'!B4</f>
        <v>3800</v>
      </c>
      <c r="C5" s="443">
        <f>'Pryse + Sensatiwiteitsanalise'!B4</f>
        <v>3800</v>
      </c>
      <c r="D5" s="443">
        <f>'Pryse + Sensatiwiteitsanalise'!B5</f>
        <v>10000</v>
      </c>
      <c r="E5" s="443">
        <f>'Pryse + Sensatiwiteitsanalise'!B6</f>
        <v>7900</v>
      </c>
      <c r="F5" s="443">
        <f>'Pryse + Sensatiwiteitsanalise'!B7</f>
        <v>3500</v>
      </c>
      <c r="G5" s="443">
        <f>Grondbone!D10</f>
        <v>15844.27</v>
      </c>
      <c r="H5" s="443">
        <f>B5</f>
        <v>3800</v>
      </c>
      <c r="I5" s="84"/>
      <c r="J5" s="212" t="s">
        <v>127</v>
      </c>
      <c r="K5" s="213">
        <v>1.3089999999999999</v>
      </c>
    </row>
    <row r="6" spans="1:12" s="82" customFormat="1" ht="14.4" x14ac:dyDescent="0.3">
      <c r="A6" s="288" t="s">
        <v>128</v>
      </c>
      <c r="B6" s="442">
        <f>'Pryse + Sensatiwiteitsanalise'!D4</f>
        <v>386.29</v>
      </c>
      <c r="C6" s="443">
        <f>'Pryse + Sensatiwiteitsanalise'!D4</f>
        <v>386.29</v>
      </c>
      <c r="D6" s="443">
        <f>'Pryse + Sensatiwiteitsanalise'!D5</f>
        <v>445.55</v>
      </c>
      <c r="E6" s="443">
        <f>'Pryse + Sensatiwiteitsanalise'!D6</f>
        <v>192.41</v>
      </c>
      <c r="F6" s="443">
        <f>'Pryse + Sensatiwiteitsanalise'!D7</f>
        <v>108.52</v>
      </c>
      <c r="G6" s="443">
        <f>'Pryse + Sensatiwiteitsanalise'!D8</f>
        <v>63</v>
      </c>
      <c r="H6" s="443">
        <f>'Pryse + Sensatiwiteitsanalise'!D4</f>
        <v>386.29</v>
      </c>
      <c r="I6" s="84"/>
      <c r="J6" s="210" t="s">
        <v>129</v>
      </c>
      <c r="K6" s="210">
        <v>2.6</v>
      </c>
    </row>
    <row r="7" spans="1:12" s="82" customFormat="1" ht="14.4" x14ac:dyDescent="0.3">
      <c r="A7" s="288" t="s">
        <v>130</v>
      </c>
      <c r="B7" s="442">
        <f>B5-B6</f>
        <v>3413.71</v>
      </c>
      <c r="C7" s="443">
        <f t="shared" ref="C7:H7" si="0">C5-C6</f>
        <v>3413.71</v>
      </c>
      <c r="D7" s="443">
        <f t="shared" si="0"/>
        <v>9554.4500000000007</v>
      </c>
      <c r="E7" s="443">
        <f t="shared" si="0"/>
        <v>7707.59</v>
      </c>
      <c r="F7" s="443">
        <f t="shared" si="0"/>
        <v>3391.48</v>
      </c>
      <c r="G7" s="443">
        <f>G5-G6</f>
        <v>15781.27</v>
      </c>
      <c r="H7" s="443">
        <f t="shared" si="0"/>
        <v>3413.71</v>
      </c>
      <c r="I7" s="84"/>
      <c r="J7" s="215" t="s">
        <v>119</v>
      </c>
      <c r="K7" s="220">
        <v>1.097</v>
      </c>
    </row>
    <row r="8" spans="1:12" ht="14.4" x14ac:dyDescent="0.3">
      <c r="A8" s="273" t="s">
        <v>131</v>
      </c>
      <c r="B8" s="281">
        <f>B4*B7</f>
        <v>13996.210999999999</v>
      </c>
      <c r="C8" s="281">
        <f>C4*C7</f>
        <v>13996.210999999999</v>
      </c>
      <c r="D8" s="281">
        <f t="shared" ref="D8:H8" si="1">D4*D7</f>
        <v>12506.77505</v>
      </c>
      <c r="E8" s="281">
        <f>E4*E7</f>
        <v>17187.9257</v>
      </c>
      <c r="F8" s="281">
        <f t="shared" si="1"/>
        <v>8817.848</v>
      </c>
      <c r="G8" s="281">
        <f>G4*G7</f>
        <v>17312.053189999999</v>
      </c>
      <c r="H8" s="281">
        <f t="shared" si="1"/>
        <v>30723.39</v>
      </c>
      <c r="I8" s="71"/>
    </row>
    <row r="9" spans="1:12" ht="14.4" x14ac:dyDescent="0.3">
      <c r="A9" s="288"/>
      <c r="B9" s="281"/>
      <c r="C9" s="281"/>
      <c r="D9" s="281"/>
      <c r="E9" s="281"/>
      <c r="F9" s="281"/>
      <c r="G9" s="281"/>
      <c r="H9" s="282"/>
      <c r="I9" s="71"/>
    </row>
    <row r="10" spans="1:12" ht="14.4" x14ac:dyDescent="0.3">
      <c r="A10" s="278" t="s">
        <v>132</v>
      </c>
      <c r="B10" s="291"/>
      <c r="C10" s="291"/>
      <c r="D10" s="291"/>
      <c r="E10" s="291"/>
      <c r="F10" s="291"/>
      <c r="G10" s="291"/>
      <c r="H10" s="283"/>
      <c r="I10" s="71"/>
      <c r="J10" s="141" t="s">
        <v>133</v>
      </c>
    </row>
    <row r="11" spans="1:12" ht="14.4" x14ac:dyDescent="0.3">
      <c r="A11" s="286" t="str">
        <f>'W-Mielie '!A9</f>
        <v>Saad/ Seed</v>
      </c>
      <c r="B11" s="293">
        <f>'W-Mielie '!F9</f>
        <v>1003.7261749999999</v>
      </c>
      <c r="C11" s="293">
        <f>'W-BT Mielies'!F9</f>
        <v>1667.3786896249997</v>
      </c>
      <c r="D11" s="293">
        <f>Sonneblom!E9</f>
        <v>832.48526666666658</v>
      </c>
      <c r="E11" s="293">
        <f>Sojabone!H9</f>
        <v>1358.0564400000001</v>
      </c>
      <c r="F11" s="293">
        <f>Graansorghum!E9</f>
        <v>670.13400000000001</v>
      </c>
      <c r="G11" s="293">
        <f>Grondbone!D16</f>
        <v>900</v>
      </c>
      <c r="H11" s="285">
        <f>'Bes-mielies'!D9</f>
        <v>4210.9138124999999</v>
      </c>
      <c r="I11" s="71"/>
      <c r="J11" s="455" t="s">
        <v>134</v>
      </c>
      <c r="K11" s="455"/>
      <c r="L11" s="455"/>
    </row>
    <row r="12" spans="1:12" ht="14.4" x14ac:dyDescent="0.3">
      <c r="A12" s="286" t="str">
        <f>'W-Mielie '!A10</f>
        <v>Kunsmis/ Fertiliser</v>
      </c>
      <c r="B12" s="293">
        <f>'W-Mielie '!F10</f>
        <v>5424.76</v>
      </c>
      <c r="C12" s="293">
        <f>'W-BT Mielies'!F10</f>
        <v>5424.76</v>
      </c>
      <c r="D12" s="293">
        <f>Sonneblom!E10</f>
        <v>1736.6624999999999</v>
      </c>
      <c r="E12" s="293">
        <f>Sojabone!H10</f>
        <v>3037.6</v>
      </c>
      <c r="F12" s="293">
        <f>Graansorghum!E10</f>
        <v>4093.5699999999997</v>
      </c>
      <c r="G12" s="293">
        <f>Grondbone!D17</f>
        <v>1326.2</v>
      </c>
      <c r="H12" s="285">
        <f>'Bes-mielies'!D10</f>
        <v>13948.66</v>
      </c>
      <c r="I12" s="71"/>
      <c r="L12" s="127"/>
    </row>
    <row r="13" spans="1:12" ht="14.4" x14ac:dyDescent="0.3">
      <c r="A13" s="286" t="str">
        <f>'W-Mielie '!A11</f>
        <v>Kalk/ Lime</v>
      </c>
      <c r="B13" s="293">
        <f>'W-Mielie '!F11</f>
        <v>800</v>
      </c>
      <c r="C13" s="293">
        <f>'W-BT Mielies'!F11</f>
        <v>800</v>
      </c>
      <c r="D13" s="293">
        <f>Sonneblom!E11</f>
        <v>800</v>
      </c>
      <c r="E13" s="293">
        <f>Sojabone!H11</f>
        <v>800</v>
      </c>
      <c r="F13" s="293">
        <f>Graansorghum!E11</f>
        <v>800</v>
      </c>
      <c r="G13" s="293">
        <f>Grondbone!D18</f>
        <v>800</v>
      </c>
      <c r="H13" s="285">
        <f>'Bes-mielies'!D11</f>
        <v>800</v>
      </c>
      <c r="I13" s="71"/>
      <c r="L13" s="127"/>
    </row>
    <row r="14" spans="1:12" ht="14.4" x14ac:dyDescent="0.3">
      <c r="A14" s="286" t="str">
        <f>'W-Mielie '!A12</f>
        <v>Brandstof/ Fuel</v>
      </c>
      <c r="B14" s="293">
        <f>'W-Mielie '!F12</f>
        <v>1533.0567679999999</v>
      </c>
      <c r="C14" s="293">
        <f>'W-BT Mielies'!F12</f>
        <v>1533.0567679999999</v>
      </c>
      <c r="D14" s="293">
        <f>Sonneblom!E12</f>
        <v>1319.567468</v>
      </c>
      <c r="E14" s="293">
        <f>Sojabone!H12</f>
        <v>1407.2007679999999</v>
      </c>
      <c r="F14" s="293">
        <f>Graansorghum!E12</f>
        <v>1462.400768</v>
      </c>
      <c r="G14" s="293">
        <f>Grondbone!D19</f>
        <v>1654.42</v>
      </c>
      <c r="H14" s="285">
        <f>'Bes-mielies'!D12</f>
        <v>1731.7767679999999</v>
      </c>
      <c r="I14" s="71"/>
      <c r="L14" s="127"/>
    </row>
    <row r="15" spans="1:12" ht="14.4" x14ac:dyDescent="0.3">
      <c r="A15" s="286" t="str">
        <f>'W-Mielie '!A13</f>
        <v>Reparasie / Reparation</v>
      </c>
      <c r="B15" s="293">
        <f>'W-Mielie '!F13</f>
        <v>1343.7620666666667</v>
      </c>
      <c r="C15" s="293">
        <f>'W-BT Mielies'!F13</f>
        <v>1343.7620666666667</v>
      </c>
      <c r="D15" s="293">
        <f>Sonneblom!E13</f>
        <v>1219.7570666666666</v>
      </c>
      <c r="E15" s="293">
        <f>Sojabone!H13</f>
        <v>1195.2570666666666</v>
      </c>
      <c r="F15" s="293">
        <f>Graansorghum!E13</f>
        <v>1285.7354</v>
      </c>
      <c r="G15" s="293">
        <f>Grondbone!D20</f>
        <v>1813.08</v>
      </c>
      <c r="H15" s="285">
        <f>'Bes-mielies'!D13</f>
        <v>1391.2954</v>
      </c>
      <c r="I15" s="71"/>
      <c r="L15" s="126"/>
    </row>
    <row r="16" spans="1:12" ht="14.4" x14ac:dyDescent="0.3">
      <c r="A16" s="286" t="str">
        <f>'W-Mielie '!A14</f>
        <v>Onkruiddoders/ Herbicides</v>
      </c>
      <c r="B16" s="293">
        <f>'W-Mielie '!F14</f>
        <v>1056.6820000000002</v>
      </c>
      <c r="C16" s="293">
        <f>'W-BT Mielies'!F14</f>
        <v>1195.5540000000001</v>
      </c>
      <c r="D16" s="293">
        <f>Sonneblom!E14</f>
        <v>915.178</v>
      </c>
      <c r="E16" s="293">
        <f>Sojabone!H14</f>
        <v>579</v>
      </c>
      <c r="F16" s="293">
        <f>Graansorghum!E14</f>
        <v>1056.6820000000002</v>
      </c>
      <c r="G16" s="293">
        <f>Grondbone!D21</f>
        <v>515.67999999999995</v>
      </c>
      <c r="H16" s="285">
        <f>'Bes-mielies'!D14</f>
        <v>1352.174</v>
      </c>
      <c r="I16" s="71"/>
      <c r="L16" s="125"/>
    </row>
    <row r="17" spans="1:15" ht="14.4" x14ac:dyDescent="0.3">
      <c r="A17" s="286" t="str">
        <f>'W-Mielie '!A15</f>
        <v>Plaagdoder/ Pesticides</v>
      </c>
      <c r="B17" s="293">
        <f>'W-Mielie '!F15</f>
        <v>651.54999999999995</v>
      </c>
      <c r="C17" s="293">
        <f>'W-BT Mielies'!F15</f>
        <v>579.16499999999996</v>
      </c>
      <c r="D17" s="293">
        <f>Sonneblom!E15</f>
        <v>537.18550000000005</v>
      </c>
      <c r="E17" s="293">
        <f>Sojabone!H15</f>
        <v>845.5</v>
      </c>
      <c r="F17" s="293">
        <f>Graansorghum!E15</f>
        <v>651.54999999999995</v>
      </c>
      <c r="G17" s="293"/>
      <c r="H17" s="285">
        <f>'Bes-mielies'!D15</f>
        <v>840.66499999999996</v>
      </c>
      <c r="I17" s="71"/>
      <c r="L17" s="125"/>
    </row>
    <row r="18" spans="1:15" ht="14.4" x14ac:dyDescent="0.3">
      <c r="A18" s="286" t="str">
        <f>'W-Mielie '!A16</f>
        <v>Insetversekering/ Input insurance</v>
      </c>
      <c r="B18" s="293"/>
      <c r="C18" s="293"/>
      <c r="D18" s="293">
        <f>Sonneblom!E16</f>
        <v>232.88971875000001</v>
      </c>
      <c r="E18" s="293"/>
      <c r="F18" s="293"/>
      <c r="G18" s="293"/>
      <c r="H18" s="285"/>
      <c r="I18" s="71"/>
      <c r="K18" s="454"/>
      <c r="L18" s="454"/>
      <c r="N18" s="454"/>
      <c r="O18" s="454"/>
    </row>
    <row r="19" spans="1:15" ht="14.4" x14ac:dyDescent="0.3">
      <c r="A19" s="286" t="str">
        <f>'Bes-mielies'!A17</f>
        <v>Besproeiingskoste / Irrigation cost</v>
      </c>
      <c r="B19" s="293"/>
      <c r="C19" s="293"/>
      <c r="D19" s="293"/>
      <c r="E19" s="293"/>
      <c r="F19" s="293"/>
      <c r="G19" s="293"/>
      <c r="H19" s="285">
        <f>'Bes-mielies'!D17</f>
        <v>7228.4</v>
      </c>
      <c r="I19" s="71"/>
      <c r="K19" s="216"/>
      <c r="L19" s="216"/>
      <c r="N19" s="216"/>
      <c r="O19" s="216"/>
    </row>
    <row r="20" spans="1:15" ht="14.4" x14ac:dyDescent="0.3">
      <c r="A20" s="286" t="str">
        <f>'W-Mielie '!A18</f>
        <v>Graanprysverskansing/ Grain Hedging</v>
      </c>
      <c r="B20" s="293">
        <f>'W-Mielie '!F18</f>
        <v>1145.2111340994159</v>
      </c>
      <c r="C20" s="293">
        <f>'W-BT Mielies'!F18</f>
        <v>1212.7567501786648</v>
      </c>
      <c r="D20" s="293">
        <f>Sonneblom!E18</f>
        <v>341.32443990009017</v>
      </c>
      <c r="E20" s="293">
        <f>Sojabone!H18</f>
        <v>562.11508323987141</v>
      </c>
      <c r="F20" s="293"/>
      <c r="G20" s="293"/>
      <c r="H20" s="285">
        <f>'Bes-mielies'!D18</f>
        <v>2920.6334612087658</v>
      </c>
      <c r="I20" s="71"/>
      <c r="L20" s="127"/>
      <c r="O20" s="127"/>
    </row>
    <row r="21" spans="1:15" ht="14.4" x14ac:dyDescent="0.3">
      <c r="A21" s="286" t="str">
        <f>'W-Mielie '!A19</f>
        <v>Kontrakwerk/ Contract work</v>
      </c>
      <c r="B21" s="293"/>
      <c r="C21" s="293"/>
      <c r="D21" s="293"/>
      <c r="E21" s="293"/>
      <c r="F21" s="293"/>
      <c r="G21" s="293"/>
      <c r="H21" s="285"/>
      <c r="I21" s="71"/>
      <c r="L21" s="127"/>
      <c r="O21" s="127"/>
    </row>
    <row r="22" spans="1:15" ht="14.4" x14ac:dyDescent="0.3">
      <c r="A22" s="286" t="str">
        <f>'W-Mielie '!A20</f>
        <v>Oesversekering/ Crop insurance</v>
      </c>
      <c r="B22" s="293">
        <f>'W-Mielie '!F20</f>
        <v>340.351</v>
      </c>
      <c r="C22" s="293">
        <f>'W-BT Mielies'!F20</f>
        <v>356.54955000000001</v>
      </c>
      <c r="D22" s="293">
        <f>Sonneblom!E20</f>
        <v>238.86125000000001</v>
      </c>
      <c r="E22" s="293">
        <f>Sojabone!H20</f>
        <v>1079.0626000000002</v>
      </c>
      <c r="F22" s="293">
        <f>Graansorghum!E20</f>
        <v>233.63262</v>
      </c>
      <c r="G22" s="293">
        <f>Grondbone!D27</f>
        <v>193.4436</v>
      </c>
      <c r="H22" s="285">
        <f>'Bes-mielies'!D20</f>
        <v>767.34225000000004</v>
      </c>
      <c r="I22" s="71"/>
      <c r="L22" s="127"/>
      <c r="O22" s="127"/>
    </row>
    <row r="23" spans="1:15" ht="14.4" x14ac:dyDescent="0.3">
      <c r="A23" s="286" t="str">
        <f>'W-Mielie '!A21</f>
        <v>Lugspuit/Arial spray</v>
      </c>
      <c r="B23" s="293">
        <f>'W-Mielie '!F21</f>
        <v>200</v>
      </c>
      <c r="C23" s="293">
        <f>'W-BT Mielies'!F21</f>
        <v>200</v>
      </c>
      <c r="D23" s="293">
        <f>Sonneblom!E21</f>
        <v>0</v>
      </c>
      <c r="E23" s="293">
        <f>Sojabone!H21</f>
        <v>200</v>
      </c>
      <c r="F23" s="293">
        <f>Graansorghum!E21</f>
        <v>200</v>
      </c>
      <c r="G23" s="293"/>
      <c r="H23" s="285"/>
      <c r="I23" s="71"/>
      <c r="L23" s="127"/>
      <c r="O23" s="127"/>
    </row>
    <row r="24" spans="1:15" ht="14.4" x14ac:dyDescent="0.3">
      <c r="A24" s="286" t="str">
        <f>'W-Mielie '!A22</f>
        <v>Losarbeid/ Casual labour</v>
      </c>
      <c r="B24" s="293">
        <f>'W-Mielie '!F22</f>
        <v>300</v>
      </c>
      <c r="C24" s="293">
        <f>'W-BT Mielies'!F22</f>
        <v>300</v>
      </c>
      <c r="D24" s="293">
        <f>Sonneblom!E22</f>
        <v>300</v>
      </c>
      <c r="E24" s="293">
        <f>Sojabone!H22</f>
        <v>300</v>
      </c>
      <c r="F24" s="293">
        <f>Graansorghum!E22</f>
        <v>300</v>
      </c>
      <c r="G24" s="293">
        <f>Grondbone!D29</f>
        <v>1050</v>
      </c>
      <c r="H24" s="285"/>
      <c r="I24" s="71"/>
      <c r="L24" s="78"/>
    </row>
    <row r="25" spans="1:15" ht="14.4" x14ac:dyDescent="0.3">
      <c r="A25" s="286" t="str">
        <f>'W-Mielie '!A23</f>
        <v>Droogkoste/ Drying costs</v>
      </c>
      <c r="B25" s="293"/>
      <c r="C25" s="293"/>
      <c r="D25" s="293"/>
      <c r="E25" s="293"/>
      <c r="F25" s="293"/>
      <c r="G25" s="293"/>
      <c r="H25" s="285"/>
      <c r="I25" s="71"/>
      <c r="L25" s="78"/>
    </row>
    <row r="26" spans="1:15" ht="14.4" x14ac:dyDescent="0.3">
      <c r="A26" s="286" t="str">
        <f>'W-Mielie '!A24</f>
        <v>Verpakking en Pakmateriaal/ Packaging and packing materials</v>
      </c>
      <c r="B26" s="293"/>
      <c r="C26" s="293"/>
      <c r="D26" s="293"/>
      <c r="E26" s="293"/>
      <c r="F26" s="293"/>
      <c r="G26" s="293">
        <f>Grondbone!D31</f>
        <v>206</v>
      </c>
      <c r="H26" s="285"/>
      <c r="I26" s="71"/>
      <c r="L26" s="78"/>
    </row>
    <row r="27" spans="1:15" ht="14.4" x14ac:dyDescent="0.3">
      <c r="A27" s="286" t="str">
        <f>'W-Mielie '!A25</f>
        <v>Produksiekrediet rente (R/ha)/ Interest on production (R/ha)</v>
      </c>
      <c r="B27" s="293">
        <f>'W-Mielie '!F25</f>
        <v>845.19482255567254</v>
      </c>
      <c r="C27" s="293">
        <f>'W-BT Mielies'!F25</f>
        <v>895.04519799880779</v>
      </c>
      <c r="D27" s="293">
        <f>Sonneblom!E25</f>
        <v>519.02706161148467</v>
      </c>
      <c r="E27" s="293">
        <f>Sojabone!H25</f>
        <v>696.03225742177563</v>
      </c>
      <c r="F27" s="293">
        <f>Graansorghum!E25</f>
        <v>658.66441826499988</v>
      </c>
      <c r="G27" s="293">
        <f>Grondbone!D32</f>
        <v>505.48528220750012</v>
      </c>
      <c r="H27" s="285">
        <f>'Bes-mielies'!D25</f>
        <v>2155.5014673671621</v>
      </c>
      <c r="I27" s="71"/>
      <c r="L27" s="78"/>
    </row>
    <row r="28" spans="1:15" ht="14.4" x14ac:dyDescent="0.3">
      <c r="A28" s="280" t="s">
        <v>135</v>
      </c>
      <c r="B28" s="292">
        <f>SUM(B11:B27)</f>
        <v>14644.293966321755</v>
      </c>
      <c r="C28" s="292">
        <f t="shared" ref="C28:G28" si="2">SUM(C11:C27)</f>
        <v>15508.02802246914</v>
      </c>
      <c r="D28" s="292">
        <f t="shared" si="2"/>
        <v>8992.9382715949087</v>
      </c>
      <c r="E28" s="292">
        <f t="shared" si="2"/>
        <v>12059.824215328314</v>
      </c>
      <c r="F28" s="292">
        <f t="shared" si="2"/>
        <v>11412.369206264999</v>
      </c>
      <c r="G28" s="292">
        <f t="shared" si="2"/>
        <v>8964.3088822075006</v>
      </c>
      <c r="H28" s="284">
        <f>SUM(H11:H27)</f>
        <v>37347.362159075929</v>
      </c>
      <c r="I28" s="71"/>
    </row>
    <row r="29" spans="1:15" ht="14.4" x14ac:dyDescent="0.3">
      <c r="A29" s="273"/>
      <c r="B29" s="293"/>
      <c r="C29" s="293"/>
      <c r="D29" s="293"/>
      <c r="E29" s="293"/>
      <c r="F29" s="293"/>
      <c r="G29" s="293"/>
      <c r="H29" s="286"/>
      <c r="I29" s="71"/>
    </row>
    <row r="30" spans="1:15" ht="14.4" x14ac:dyDescent="0.3">
      <c r="A30" s="280" t="s">
        <v>136</v>
      </c>
      <c r="B30" s="292">
        <f>'W-Mielie '!D28</f>
        <v>6774.08</v>
      </c>
      <c r="C30" s="292">
        <f>'W-BT Mielies'!D28</f>
        <v>6930.69</v>
      </c>
      <c r="D30" s="292">
        <f>Sonneblom!D28</f>
        <v>5934.62</v>
      </c>
      <c r="E30" s="292">
        <f>Sojabone!D28</f>
        <v>6022.3399999999992</v>
      </c>
      <c r="F30" s="292">
        <f>Graansorghum!D28</f>
        <v>6774.08</v>
      </c>
      <c r="G30" s="292">
        <f>Grondbone!D35</f>
        <v>7393.79</v>
      </c>
      <c r="H30" s="284">
        <f>'Bes-mielies'!D28</f>
        <v>7910.6900000000005</v>
      </c>
      <c r="I30" s="71"/>
      <c r="J30" s="78"/>
      <c r="K30" s="78"/>
      <c r="L30" s="78"/>
      <c r="M30" s="78"/>
      <c r="N30" s="78"/>
    </row>
    <row r="31" spans="1:15" ht="14.4" x14ac:dyDescent="0.3">
      <c r="A31" s="273"/>
      <c r="B31" s="293"/>
      <c r="C31" s="293"/>
      <c r="D31" s="293"/>
      <c r="E31" s="293"/>
      <c r="F31" s="293"/>
      <c r="G31" s="293"/>
      <c r="H31" s="286"/>
      <c r="I31" s="71"/>
    </row>
    <row r="32" spans="1:15" ht="14.4" x14ac:dyDescent="0.3">
      <c r="A32" s="280" t="s">
        <v>137</v>
      </c>
      <c r="B32" s="292">
        <f>B28+B30</f>
        <v>21418.373966321757</v>
      </c>
      <c r="C32" s="292">
        <f t="shared" ref="C32:H32" si="3">C28+C30</f>
        <v>22438.71802246914</v>
      </c>
      <c r="D32" s="292">
        <f t="shared" si="3"/>
        <v>14927.558271594909</v>
      </c>
      <c r="E32" s="292">
        <f t="shared" si="3"/>
        <v>18082.164215328314</v>
      </c>
      <c r="F32" s="287">
        <f t="shared" si="3"/>
        <v>18186.449206264999</v>
      </c>
      <c r="G32" s="287">
        <f t="shared" si="3"/>
        <v>16358.098882207501</v>
      </c>
      <c r="H32" s="287">
        <f t="shared" si="3"/>
        <v>45258.052159075931</v>
      </c>
      <c r="I32" s="71"/>
    </row>
    <row r="33" spans="1:9" ht="14.4" x14ac:dyDescent="0.3">
      <c r="A33" s="288"/>
      <c r="B33" s="293"/>
      <c r="C33" s="293"/>
      <c r="D33" s="293"/>
      <c r="E33" s="293"/>
      <c r="F33" s="294"/>
      <c r="G33" s="294"/>
      <c r="H33" s="289"/>
      <c r="I33" s="71"/>
    </row>
    <row r="34" spans="1:9" ht="14.4" x14ac:dyDescent="0.3">
      <c r="A34" s="273" t="s">
        <v>138</v>
      </c>
      <c r="B34" s="295">
        <f t="shared" ref="B34:H34" si="4">B8-B28</f>
        <v>-648.08296632175552</v>
      </c>
      <c r="C34" s="295">
        <f t="shared" si="4"/>
        <v>-1511.8170224691403</v>
      </c>
      <c r="D34" s="295">
        <f t="shared" si="4"/>
        <v>3513.8367784050915</v>
      </c>
      <c r="E34" s="295">
        <f t="shared" si="4"/>
        <v>5128.1014846716862</v>
      </c>
      <c r="F34" s="290">
        <f t="shared" si="4"/>
        <v>-2594.5212062649989</v>
      </c>
      <c r="G34" s="290">
        <f t="shared" si="4"/>
        <v>8347.7443077924981</v>
      </c>
      <c r="H34" s="290">
        <f t="shared" si="4"/>
        <v>-6623.9721590759291</v>
      </c>
      <c r="I34" s="71"/>
    </row>
    <row r="35" spans="1:9" ht="14.4" x14ac:dyDescent="0.3">
      <c r="A35" s="273" t="s">
        <v>139</v>
      </c>
      <c r="B35" s="295">
        <f t="shared" ref="B35:H35" si="5">B8-B32</f>
        <v>-7422.1629663217573</v>
      </c>
      <c r="C35" s="295">
        <f t="shared" si="5"/>
        <v>-8442.5070224691408</v>
      </c>
      <c r="D35" s="295">
        <f t="shared" si="5"/>
        <v>-2420.7832215949093</v>
      </c>
      <c r="E35" s="295">
        <f t="shared" si="5"/>
        <v>-894.23851532831395</v>
      </c>
      <c r="F35" s="290">
        <f t="shared" si="5"/>
        <v>-9368.6012062649988</v>
      </c>
      <c r="G35" s="290">
        <f t="shared" si="5"/>
        <v>953.95430779249727</v>
      </c>
      <c r="H35" s="290">
        <f t="shared" si="5"/>
        <v>-14534.662159075931</v>
      </c>
      <c r="I35" s="71"/>
    </row>
    <row r="36" spans="1:9" ht="15" thickBot="1" x14ac:dyDescent="0.35">
      <c r="A36" s="296"/>
      <c r="B36" s="297"/>
      <c r="C36" s="297"/>
      <c r="D36" s="297"/>
      <c r="E36" s="297"/>
      <c r="F36" s="297"/>
      <c r="G36" s="297"/>
      <c r="H36" s="297"/>
      <c r="I36" s="71"/>
    </row>
    <row r="37" spans="1:9" ht="15" thickBot="1" x14ac:dyDescent="0.35">
      <c r="A37" s="450" t="s">
        <v>177</v>
      </c>
      <c r="B37" s="451"/>
      <c r="C37" s="451"/>
      <c r="D37" s="452"/>
      <c r="E37" s="452"/>
      <c r="F37" s="452"/>
      <c r="G37" s="452"/>
      <c r="H37" s="453"/>
      <c r="I37" s="71"/>
    </row>
    <row r="38" spans="1:9" x14ac:dyDescent="0.25">
      <c r="A38" s="77"/>
      <c r="B38" s="77"/>
      <c r="C38" s="77"/>
      <c r="D38" s="68"/>
      <c r="E38" s="68"/>
      <c r="F38" s="68"/>
      <c r="G38" s="68"/>
      <c r="H38" s="68"/>
      <c r="I38" s="71"/>
    </row>
    <row r="39" spans="1:9" x14ac:dyDescent="0.25">
      <c r="A39" s="75"/>
      <c r="B39" s="75"/>
      <c r="C39" s="75"/>
      <c r="D39" s="75"/>
      <c r="E39" s="75"/>
      <c r="F39" s="75"/>
      <c r="G39" s="75"/>
      <c r="H39" s="75"/>
      <c r="I39" s="71"/>
    </row>
    <row r="40" spans="1:9" x14ac:dyDescent="0.25">
      <c r="A40" s="75"/>
      <c r="B40" s="75"/>
      <c r="C40" s="75"/>
      <c r="D40" s="75"/>
      <c r="E40" s="75"/>
      <c r="F40" s="75"/>
      <c r="G40" s="75"/>
      <c r="H40" s="75"/>
      <c r="I40" s="71"/>
    </row>
    <row r="41" spans="1:9" x14ac:dyDescent="0.25">
      <c r="A41" s="75"/>
      <c r="B41" s="75"/>
      <c r="C41" s="75"/>
      <c r="D41" s="75"/>
      <c r="E41" s="75"/>
      <c r="F41" s="75"/>
      <c r="G41" s="75"/>
      <c r="H41" s="75"/>
      <c r="I41" s="71"/>
    </row>
    <row r="42" spans="1:9" x14ac:dyDescent="0.25">
      <c r="A42" s="75"/>
      <c r="B42" s="75"/>
      <c r="C42" s="75"/>
      <c r="D42" s="75"/>
      <c r="E42" s="75"/>
      <c r="F42" s="75"/>
      <c r="G42" s="75"/>
      <c r="H42" s="75"/>
      <c r="I42" s="71"/>
    </row>
    <row r="43" spans="1:9" x14ac:dyDescent="0.25">
      <c r="A43" s="75"/>
      <c r="B43" s="75"/>
      <c r="C43" s="75"/>
      <c r="D43" s="75"/>
      <c r="E43" s="75"/>
      <c r="F43" s="75"/>
      <c r="G43" s="75"/>
      <c r="H43" s="75"/>
      <c r="I43" s="71"/>
    </row>
    <row r="44" spans="1:9" x14ac:dyDescent="0.25">
      <c r="A44" s="75"/>
      <c r="B44" s="75"/>
      <c r="C44" s="75"/>
      <c r="D44" s="75"/>
      <c r="E44" s="75"/>
      <c r="F44" s="75"/>
      <c r="G44" s="75"/>
      <c r="H44" s="75"/>
      <c r="I44" s="71"/>
    </row>
    <row r="45" spans="1:9" x14ac:dyDescent="0.25">
      <c r="A45" s="75"/>
      <c r="B45" s="75"/>
      <c r="C45" s="75"/>
      <c r="D45" s="75"/>
      <c r="E45" s="75"/>
      <c r="F45" s="75"/>
      <c r="G45" s="75"/>
      <c r="H45" s="75"/>
      <c r="I45" s="71"/>
    </row>
    <row r="46" spans="1:9" x14ac:dyDescent="0.25">
      <c r="A46" s="75"/>
      <c r="B46" s="75"/>
      <c r="C46" s="75"/>
      <c r="D46" s="75"/>
      <c r="E46" s="75"/>
      <c r="F46" s="75"/>
      <c r="G46" s="75"/>
      <c r="H46" s="75"/>
      <c r="I46" s="71"/>
    </row>
    <row r="47" spans="1:9" x14ac:dyDescent="0.25">
      <c r="A47" s="75"/>
      <c r="B47" s="75"/>
      <c r="C47" s="75"/>
      <c r="D47" s="75"/>
      <c r="E47" s="75"/>
      <c r="F47" s="75"/>
      <c r="G47" s="75"/>
      <c r="H47" s="75"/>
      <c r="I47" s="71"/>
    </row>
    <row r="48" spans="1:9" x14ac:dyDescent="0.25">
      <c r="A48" s="75"/>
      <c r="B48" s="75"/>
      <c r="C48" s="75"/>
      <c r="D48" s="75"/>
      <c r="E48" s="75"/>
      <c r="F48" s="75"/>
      <c r="G48" s="75"/>
      <c r="H48" s="75"/>
      <c r="I48" s="71"/>
    </row>
    <row r="49" spans="1:9" x14ac:dyDescent="0.25">
      <c r="A49" s="75"/>
      <c r="B49" s="75"/>
      <c r="C49" s="75"/>
      <c r="D49" s="75"/>
      <c r="E49" s="75"/>
      <c r="F49" s="75"/>
      <c r="G49" s="75"/>
      <c r="H49" s="75"/>
      <c r="I49" s="71"/>
    </row>
    <row r="50" spans="1:9" x14ac:dyDescent="0.25">
      <c r="A50" s="75"/>
      <c r="B50" s="75"/>
      <c r="C50" s="75"/>
      <c r="D50" s="75"/>
      <c r="E50" s="75"/>
      <c r="F50" s="75"/>
      <c r="G50" s="75"/>
      <c r="H50" s="75"/>
      <c r="I50" s="71"/>
    </row>
    <row r="51" spans="1:9" x14ac:dyDescent="0.25">
      <c r="A51" s="75"/>
      <c r="B51" s="75"/>
      <c r="C51" s="75"/>
      <c r="D51" s="75"/>
      <c r="E51" s="75"/>
      <c r="F51" s="75"/>
      <c r="G51" s="75"/>
      <c r="H51" s="75"/>
      <c r="I51" s="71"/>
    </row>
    <row r="52" spans="1:9" x14ac:dyDescent="0.25">
      <c r="A52" s="75"/>
      <c r="B52" s="75"/>
      <c r="C52" s="75"/>
      <c r="D52" s="75"/>
      <c r="E52" s="75"/>
      <c r="F52" s="75"/>
      <c r="G52" s="75"/>
      <c r="H52" s="75"/>
      <c r="I52" s="71"/>
    </row>
    <row r="53" spans="1:9" x14ac:dyDescent="0.25">
      <c r="A53" s="75"/>
      <c r="B53" s="75"/>
      <c r="C53" s="75"/>
      <c r="D53" s="75"/>
      <c r="E53" s="75"/>
      <c r="F53" s="75"/>
      <c r="G53" s="75"/>
      <c r="H53" s="75"/>
      <c r="I53" s="71"/>
    </row>
    <row r="54" spans="1:9" x14ac:dyDescent="0.25">
      <c r="A54" s="75"/>
      <c r="B54" s="75"/>
      <c r="C54" s="75"/>
      <c r="D54" s="75"/>
      <c r="E54" s="75"/>
      <c r="F54" s="75"/>
      <c r="G54" s="75"/>
      <c r="H54" s="75"/>
      <c r="I54" s="71"/>
    </row>
    <row r="55" spans="1:9" x14ac:dyDescent="0.25">
      <c r="A55" s="75"/>
      <c r="B55" s="75"/>
      <c r="C55" s="75"/>
      <c r="D55" s="75"/>
      <c r="E55" s="75"/>
      <c r="F55" s="75"/>
      <c r="G55" s="75"/>
      <c r="H55" s="75"/>
      <c r="I55" s="71"/>
    </row>
    <row r="56" spans="1:9" x14ac:dyDescent="0.25">
      <c r="A56" s="75"/>
      <c r="B56" s="75"/>
      <c r="C56" s="75"/>
      <c r="D56" s="75"/>
      <c r="E56" s="75"/>
      <c r="F56" s="75"/>
      <c r="G56" s="75"/>
      <c r="H56" s="75"/>
      <c r="I56" s="71"/>
    </row>
    <row r="57" spans="1:9" x14ac:dyDescent="0.25">
      <c r="A57" s="75"/>
      <c r="B57" s="75"/>
      <c r="C57" s="75"/>
      <c r="D57" s="75"/>
      <c r="E57" s="75"/>
      <c r="F57" s="75"/>
      <c r="G57" s="75"/>
      <c r="H57" s="75"/>
      <c r="I57" s="71"/>
    </row>
    <row r="58" spans="1:9" ht="15" thickBot="1" x14ac:dyDescent="0.35">
      <c r="A58" s="85" t="s">
        <v>140</v>
      </c>
      <c r="B58" s="73"/>
      <c r="C58" s="73"/>
      <c r="D58" s="73"/>
      <c r="E58" s="73"/>
      <c r="F58" s="73"/>
      <c r="G58" s="73"/>
      <c r="H58" s="73"/>
      <c r="I58" s="71"/>
    </row>
    <row r="59" spans="1:9" ht="29.4" thickBot="1" x14ac:dyDescent="0.35">
      <c r="A59" s="298"/>
      <c r="B59" s="299" t="str">
        <f t="shared" ref="B59:H59" si="6">B2</f>
        <v>Maize (Conventional)</v>
      </c>
      <c r="C59" s="299" t="str">
        <f t="shared" si="6"/>
        <v>Maize (Bt)</v>
      </c>
      <c r="D59" s="299" t="str">
        <f t="shared" si="6"/>
        <v>Sunflower</v>
      </c>
      <c r="E59" s="299" t="str">
        <f t="shared" si="6"/>
        <v>Soybean</v>
      </c>
      <c r="F59" s="299" t="str">
        <f t="shared" si="6"/>
        <v>Grain Sorghum</v>
      </c>
      <c r="G59" s="299" t="str">
        <f t="shared" si="6"/>
        <v>Groundnuts</v>
      </c>
      <c r="H59" s="300" t="str">
        <f t="shared" si="6"/>
        <v>Irr-Maize</v>
      </c>
      <c r="I59" s="71"/>
    </row>
    <row r="60" spans="1:9" ht="14.4" x14ac:dyDescent="0.3">
      <c r="A60" s="301" t="s">
        <v>141</v>
      </c>
      <c r="B60" s="302">
        <f t="shared" ref="B60:H60" si="7">B5</f>
        <v>3800</v>
      </c>
      <c r="C60" s="302">
        <f t="shared" si="7"/>
        <v>3800</v>
      </c>
      <c r="D60" s="302">
        <f t="shared" si="7"/>
        <v>10000</v>
      </c>
      <c r="E60" s="302">
        <f t="shared" si="7"/>
        <v>7900</v>
      </c>
      <c r="F60" s="302">
        <f t="shared" si="7"/>
        <v>3500</v>
      </c>
      <c r="G60" s="302">
        <f t="shared" si="7"/>
        <v>15844.27</v>
      </c>
      <c r="H60" s="303">
        <f t="shared" si="7"/>
        <v>3800</v>
      </c>
      <c r="I60" s="71"/>
    </row>
    <row r="61" spans="1:9" ht="13.8" x14ac:dyDescent="0.3">
      <c r="A61" s="304" t="s">
        <v>142</v>
      </c>
      <c r="B61" s="305">
        <f t="shared" ref="B61:H61" si="8">B4</f>
        <v>4.0999999999999996</v>
      </c>
      <c r="C61" s="305">
        <f t="shared" si="8"/>
        <v>4.0999999999999996</v>
      </c>
      <c r="D61" s="305">
        <f t="shared" si="8"/>
        <v>1.3089999999999999</v>
      </c>
      <c r="E61" s="305">
        <f t="shared" si="8"/>
        <v>2.23</v>
      </c>
      <c r="F61" s="305">
        <f t="shared" si="8"/>
        <v>2.6</v>
      </c>
      <c r="G61" s="305">
        <f t="shared" si="8"/>
        <v>1.097</v>
      </c>
      <c r="H61" s="306">
        <f t="shared" si="8"/>
        <v>9</v>
      </c>
      <c r="I61" s="71"/>
    </row>
    <row r="62" spans="1:9" ht="13.8" x14ac:dyDescent="0.3">
      <c r="A62" s="304"/>
      <c r="B62" s="305"/>
      <c r="C62" s="305"/>
      <c r="D62" s="305"/>
      <c r="E62" s="305"/>
      <c r="F62" s="305"/>
      <c r="G62" s="305"/>
      <c r="H62" s="306"/>
      <c r="I62" s="71"/>
    </row>
    <row r="63" spans="1:9" ht="14.4" x14ac:dyDescent="0.3">
      <c r="A63" s="307" t="s">
        <v>122</v>
      </c>
      <c r="B63" s="308"/>
      <c r="C63" s="308"/>
      <c r="D63" s="308"/>
      <c r="E63" s="308"/>
      <c r="F63" s="308"/>
      <c r="G63" s="308"/>
      <c r="H63" s="309"/>
      <c r="I63" s="71"/>
    </row>
    <row r="64" spans="1:9" ht="13.8" x14ac:dyDescent="0.3">
      <c r="A64" s="304" t="s">
        <v>143</v>
      </c>
      <c r="B64" s="302">
        <f t="shared" ref="B64:H64" si="9">B7</f>
        <v>3413.71</v>
      </c>
      <c r="C64" s="302">
        <f t="shared" si="9"/>
        <v>3413.71</v>
      </c>
      <c r="D64" s="302">
        <f t="shared" si="9"/>
        <v>9554.4500000000007</v>
      </c>
      <c r="E64" s="302">
        <f t="shared" si="9"/>
        <v>7707.59</v>
      </c>
      <c r="F64" s="302">
        <f t="shared" si="9"/>
        <v>3391.48</v>
      </c>
      <c r="G64" s="302">
        <f t="shared" si="9"/>
        <v>15781.27</v>
      </c>
      <c r="H64" s="303">
        <f t="shared" si="9"/>
        <v>3413.71</v>
      </c>
      <c r="I64" s="71"/>
    </row>
    <row r="65" spans="1:9" ht="13.8" x14ac:dyDescent="0.3">
      <c r="A65" s="304" t="s">
        <v>144</v>
      </c>
      <c r="B65" s="302">
        <f>B64/B61</f>
        <v>832.61219512195134</v>
      </c>
      <c r="C65" s="302">
        <f t="shared" ref="C65:H65" si="10">C64/C61</f>
        <v>832.61219512195134</v>
      </c>
      <c r="D65" s="302">
        <f t="shared" si="10"/>
        <v>7299.0450725744849</v>
      </c>
      <c r="E65" s="302">
        <f t="shared" si="10"/>
        <v>3456.3183856502242</v>
      </c>
      <c r="F65" s="302">
        <f t="shared" si="10"/>
        <v>1304.4153846153845</v>
      </c>
      <c r="G65" s="302">
        <f>G64/G61</f>
        <v>14385.843208751141</v>
      </c>
      <c r="H65" s="303">
        <f t="shared" si="10"/>
        <v>379.30111111111114</v>
      </c>
      <c r="I65" s="71"/>
    </row>
    <row r="66" spans="1:9" ht="13.8" x14ac:dyDescent="0.3">
      <c r="A66" s="304"/>
      <c r="B66" s="302"/>
      <c r="C66" s="302"/>
      <c r="D66" s="302"/>
      <c r="E66" s="302"/>
      <c r="F66" s="302"/>
      <c r="G66" s="302"/>
      <c r="H66" s="303"/>
      <c r="I66" s="71"/>
    </row>
    <row r="67" spans="1:9" ht="14.4" x14ac:dyDescent="0.3">
      <c r="A67" s="307" t="s">
        <v>145</v>
      </c>
      <c r="B67" s="308"/>
      <c r="C67" s="308"/>
      <c r="D67" s="308"/>
      <c r="E67" s="308"/>
      <c r="F67" s="308"/>
      <c r="G67" s="308"/>
      <c r="H67" s="309"/>
      <c r="I67" s="71"/>
    </row>
    <row r="68" spans="1:9" ht="13.8" x14ac:dyDescent="0.3">
      <c r="A68" s="310" t="s">
        <v>146</v>
      </c>
      <c r="B68" s="311">
        <f>B28</f>
        <v>14644.293966321755</v>
      </c>
      <c r="C68" s="311">
        <f t="shared" ref="C68:H68" si="11">C28</f>
        <v>15508.02802246914</v>
      </c>
      <c r="D68" s="311">
        <f t="shared" si="11"/>
        <v>8992.9382715949087</v>
      </c>
      <c r="E68" s="311">
        <f t="shared" si="11"/>
        <v>12059.824215328314</v>
      </c>
      <c r="F68" s="311">
        <f t="shared" si="11"/>
        <v>11412.369206264999</v>
      </c>
      <c r="G68" s="311">
        <f t="shared" si="11"/>
        <v>8964.3088822075006</v>
      </c>
      <c r="H68" s="312">
        <f t="shared" si="11"/>
        <v>37347.362159075929</v>
      </c>
      <c r="I68" s="71"/>
    </row>
    <row r="69" spans="1:9" ht="13.8" x14ac:dyDescent="0.3">
      <c r="A69" s="310" t="s">
        <v>147</v>
      </c>
      <c r="B69" s="311">
        <f>B68/B61</f>
        <v>3571.7790161760381</v>
      </c>
      <c r="C69" s="311">
        <f t="shared" ref="C69:H69" si="12">C68/C61</f>
        <v>3782.4458591388147</v>
      </c>
      <c r="D69" s="311">
        <f t="shared" si="12"/>
        <v>6870.0827132123068</v>
      </c>
      <c r="E69" s="311">
        <f t="shared" si="12"/>
        <v>5407.9929216718892</v>
      </c>
      <c r="F69" s="311">
        <f t="shared" si="12"/>
        <v>4389.3727716403837</v>
      </c>
      <c r="G69" s="311">
        <f t="shared" si="12"/>
        <v>8171.6580512374667</v>
      </c>
      <c r="H69" s="312">
        <f t="shared" si="12"/>
        <v>4149.7069065639917</v>
      </c>
      <c r="I69" s="71"/>
    </row>
    <row r="70" spans="1:9" ht="13.8" x14ac:dyDescent="0.3">
      <c r="A70" s="310"/>
      <c r="B70" s="311"/>
      <c r="C70" s="311"/>
      <c r="D70" s="311"/>
      <c r="E70" s="311"/>
      <c r="F70" s="311"/>
      <c r="G70" s="311"/>
      <c r="H70" s="312"/>
      <c r="I70" s="71"/>
    </row>
    <row r="71" spans="1:9" ht="13.8" x14ac:dyDescent="0.3">
      <c r="A71" s="304" t="s">
        <v>148</v>
      </c>
      <c r="B71" s="302">
        <f>B32</f>
        <v>21418.373966321757</v>
      </c>
      <c r="C71" s="302">
        <f t="shared" ref="C71:H71" si="13">C32</f>
        <v>22438.71802246914</v>
      </c>
      <c r="D71" s="302">
        <f t="shared" si="13"/>
        <v>14927.558271594909</v>
      </c>
      <c r="E71" s="302">
        <f t="shared" si="13"/>
        <v>18082.164215328314</v>
      </c>
      <c r="F71" s="302">
        <f t="shared" si="13"/>
        <v>18186.449206264999</v>
      </c>
      <c r="G71" s="302">
        <f t="shared" si="13"/>
        <v>16358.098882207501</v>
      </c>
      <c r="H71" s="303">
        <f t="shared" si="13"/>
        <v>45258.052159075931</v>
      </c>
      <c r="I71" s="71"/>
    </row>
    <row r="72" spans="1:9" ht="13.8" x14ac:dyDescent="0.3">
      <c r="A72" s="304" t="s">
        <v>149</v>
      </c>
      <c r="B72" s="302">
        <f>B71/B61</f>
        <v>5223.9936503223798</v>
      </c>
      <c r="C72" s="302">
        <f t="shared" ref="C72:H72" si="14">C71/C61</f>
        <v>5472.858054260766</v>
      </c>
      <c r="D72" s="302">
        <f t="shared" si="14"/>
        <v>11403.787831623307</v>
      </c>
      <c r="E72" s="302">
        <f t="shared" si="14"/>
        <v>8108.593818532876</v>
      </c>
      <c r="F72" s="302">
        <f t="shared" si="14"/>
        <v>6994.7881562557686</v>
      </c>
      <c r="G72" s="302">
        <f t="shared" si="14"/>
        <v>14911.66716700775</v>
      </c>
      <c r="H72" s="303">
        <f t="shared" si="14"/>
        <v>5028.6724621195481</v>
      </c>
      <c r="I72" s="71"/>
    </row>
    <row r="73" spans="1:9" ht="13.8" x14ac:dyDescent="0.3">
      <c r="A73" s="304"/>
      <c r="B73" s="302"/>
      <c r="C73" s="302"/>
      <c r="D73" s="302"/>
      <c r="E73" s="302"/>
      <c r="F73" s="302"/>
      <c r="G73" s="302"/>
      <c r="H73" s="303"/>
      <c r="I73" s="71"/>
    </row>
    <row r="74" spans="1:9" ht="14.4" x14ac:dyDescent="0.3">
      <c r="A74" s="313" t="s">
        <v>150</v>
      </c>
      <c r="B74" s="314"/>
      <c r="C74" s="314"/>
      <c r="D74" s="314"/>
      <c r="E74" s="314"/>
      <c r="F74" s="314"/>
      <c r="G74" s="314"/>
      <c r="H74" s="315"/>
      <c r="I74" s="71"/>
    </row>
    <row r="75" spans="1:9" ht="13.8" x14ac:dyDescent="0.3">
      <c r="A75" s="310" t="s">
        <v>151</v>
      </c>
      <c r="B75" s="302">
        <f>B34</f>
        <v>-648.08296632175552</v>
      </c>
      <c r="C75" s="302">
        <f t="shared" ref="C75:H75" si="15">C34</f>
        <v>-1511.8170224691403</v>
      </c>
      <c r="D75" s="302">
        <f t="shared" si="15"/>
        <v>3513.8367784050915</v>
      </c>
      <c r="E75" s="302">
        <f t="shared" si="15"/>
        <v>5128.1014846716862</v>
      </c>
      <c r="F75" s="302">
        <f t="shared" si="15"/>
        <v>-2594.5212062649989</v>
      </c>
      <c r="G75" s="302">
        <f t="shared" si="15"/>
        <v>8347.7443077924981</v>
      </c>
      <c r="H75" s="303">
        <f t="shared" si="15"/>
        <v>-6623.9721590759291</v>
      </c>
      <c r="I75" s="71"/>
    </row>
    <row r="76" spans="1:9" ht="13.8" x14ac:dyDescent="0.3">
      <c r="A76" s="310" t="s">
        <v>152</v>
      </c>
      <c r="B76" s="302">
        <f>B75/B61</f>
        <v>-158.06901617603793</v>
      </c>
      <c r="C76" s="302">
        <f t="shared" ref="C76:H76" si="16">C75/C61</f>
        <v>-368.73585913881476</v>
      </c>
      <c r="D76" s="302">
        <f t="shared" si="16"/>
        <v>2684.3672867876944</v>
      </c>
      <c r="E76" s="302">
        <f t="shared" si="16"/>
        <v>2299.5970783281105</v>
      </c>
      <c r="F76" s="302">
        <f t="shared" si="16"/>
        <v>-997.89277164038413</v>
      </c>
      <c r="G76" s="302">
        <f t="shared" si="16"/>
        <v>7609.6119487625328</v>
      </c>
      <c r="H76" s="303">
        <f t="shared" si="16"/>
        <v>-735.99690656399207</v>
      </c>
      <c r="I76" s="71"/>
    </row>
    <row r="77" spans="1:9" ht="13.8" x14ac:dyDescent="0.3">
      <c r="A77" s="304"/>
      <c r="B77" s="302"/>
      <c r="C77" s="302"/>
      <c r="D77" s="302"/>
      <c r="E77" s="302"/>
      <c r="F77" s="302"/>
      <c r="G77" s="302"/>
      <c r="H77" s="303"/>
      <c r="I77" s="71"/>
    </row>
    <row r="78" spans="1:9" ht="13.8" x14ac:dyDescent="0.3">
      <c r="A78" s="304" t="s">
        <v>153</v>
      </c>
      <c r="B78" s="302">
        <f>B35</f>
        <v>-7422.1629663217573</v>
      </c>
      <c r="C78" s="302">
        <f t="shared" ref="C78:H78" si="17">C35</f>
        <v>-8442.5070224691408</v>
      </c>
      <c r="D78" s="302">
        <f t="shared" si="17"/>
        <v>-2420.7832215949093</v>
      </c>
      <c r="E78" s="302">
        <f t="shared" si="17"/>
        <v>-894.23851532831395</v>
      </c>
      <c r="F78" s="302">
        <f t="shared" si="17"/>
        <v>-9368.6012062649988</v>
      </c>
      <c r="G78" s="302">
        <f t="shared" si="17"/>
        <v>953.95430779249727</v>
      </c>
      <c r="H78" s="303">
        <f t="shared" si="17"/>
        <v>-14534.662159075931</v>
      </c>
      <c r="I78" s="71"/>
    </row>
    <row r="79" spans="1:9" ht="13.8" x14ac:dyDescent="0.3">
      <c r="A79" s="304" t="s">
        <v>154</v>
      </c>
      <c r="B79" s="302">
        <f t="shared" ref="B79:H79" si="18">B78/B4</f>
        <v>-1810.28365032238</v>
      </c>
      <c r="C79" s="302">
        <f t="shared" si="18"/>
        <v>-2059.148054260766</v>
      </c>
      <c r="D79" s="302">
        <f t="shared" si="18"/>
        <v>-1849.3378316233075</v>
      </c>
      <c r="E79" s="302">
        <f t="shared" si="18"/>
        <v>-401.00381853287621</v>
      </c>
      <c r="F79" s="302">
        <f t="shared" si="18"/>
        <v>-3603.3081562557686</v>
      </c>
      <c r="G79" s="302">
        <f t="shared" si="18"/>
        <v>869.60283299224909</v>
      </c>
      <c r="H79" s="303">
        <f t="shared" si="18"/>
        <v>-1614.962462119548</v>
      </c>
      <c r="I79" s="71"/>
    </row>
    <row r="80" spans="1:9" ht="13.8" x14ac:dyDescent="0.3">
      <c r="A80" s="304"/>
      <c r="B80" s="302"/>
      <c r="C80" s="302"/>
      <c r="D80" s="302"/>
      <c r="E80" s="302"/>
      <c r="F80" s="302"/>
      <c r="G80" s="302"/>
      <c r="H80" s="303"/>
      <c r="I80" s="71"/>
    </row>
    <row r="81" spans="1:9" ht="14.4" x14ac:dyDescent="0.3">
      <c r="A81" s="313" t="s">
        <v>155</v>
      </c>
      <c r="B81" s="314"/>
      <c r="C81" s="314"/>
      <c r="D81" s="314"/>
      <c r="E81" s="314"/>
      <c r="F81" s="314"/>
      <c r="G81" s="314"/>
      <c r="H81" s="315"/>
      <c r="I81" s="71"/>
    </row>
    <row r="82" spans="1:9" ht="14.4" thickBot="1" x14ac:dyDescent="0.35">
      <c r="A82" s="310" t="s">
        <v>156</v>
      </c>
      <c r="B82" s="316">
        <f>B68/B64</f>
        <v>4.2898471066147259</v>
      </c>
      <c r="C82" s="316">
        <f t="shared" ref="C82:H82" si="19">C68/C64</f>
        <v>4.5428662723163766</v>
      </c>
      <c r="D82" s="316">
        <f t="shared" si="19"/>
        <v>0.94123034518940474</v>
      </c>
      <c r="E82" s="316">
        <f t="shared" si="19"/>
        <v>1.5646686208436507</v>
      </c>
      <c r="F82" s="316">
        <f t="shared" si="19"/>
        <v>3.3650115012516655</v>
      </c>
      <c r="G82" s="316">
        <f t="shared" si="19"/>
        <v>0.56803469443254573</v>
      </c>
      <c r="H82" s="317">
        <f t="shared" si="19"/>
        <v>10.940402717007574</v>
      </c>
      <c r="I82" s="71"/>
    </row>
    <row r="83" spans="1:9" ht="15" thickTop="1" thickBot="1" x14ac:dyDescent="0.35">
      <c r="A83" s="310" t="s">
        <v>157</v>
      </c>
      <c r="B83" s="318">
        <f t="shared" ref="B83:H83" si="20">B69+B6</f>
        <v>3958.0690161760381</v>
      </c>
      <c r="C83" s="318">
        <f t="shared" si="20"/>
        <v>4168.7358591388147</v>
      </c>
      <c r="D83" s="318">
        <f t="shared" si="20"/>
        <v>7315.632713212307</v>
      </c>
      <c r="E83" s="318">
        <f t="shared" si="20"/>
        <v>5600.4029216718891</v>
      </c>
      <c r="F83" s="318">
        <f t="shared" si="20"/>
        <v>4497.8927716403841</v>
      </c>
      <c r="G83" s="318">
        <f t="shared" si="20"/>
        <v>8234.6580512374676</v>
      </c>
      <c r="H83" s="319">
        <f t="shared" si="20"/>
        <v>4535.9969065639916</v>
      </c>
      <c r="I83" s="71"/>
    </row>
    <row r="84" spans="1:9" ht="15" thickTop="1" x14ac:dyDescent="0.3">
      <c r="A84" s="313" t="s">
        <v>158</v>
      </c>
      <c r="B84" s="314"/>
      <c r="C84" s="314"/>
      <c r="D84" s="314"/>
      <c r="E84" s="314"/>
      <c r="F84" s="314"/>
      <c r="G84" s="314"/>
      <c r="H84" s="315"/>
    </row>
    <row r="85" spans="1:9" ht="14.4" thickBot="1" x14ac:dyDescent="0.35">
      <c r="A85" s="304" t="s">
        <v>156</v>
      </c>
      <c r="B85" s="316">
        <f>B71/B64</f>
        <v>6.2742218777581451</v>
      </c>
      <c r="C85" s="316">
        <f t="shared" ref="C85:H85" si="21">C71/C64</f>
        <v>6.5731178168236726</v>
      </c>
      <c r="D85" s="316">
        <f t="shared" si="21"/>
        <v>1.5623670929875513</v>
      </c>
      <c r="E85" s="316">
        <f t="shared" si="21"/>
        <v>2.3460205090473565</v>
      </c>
      <c r="F85" s="316">
        <f t="shared" si="21"/>
        <v>5.3623931753290597</v>
      </c>
      <c r="G85" s="316">
        <f t="shared" si="21"/>
        <v>1.0365514868073038</v>
      </c>
      <c r="H85" s="317">
        <f t="shared" si="21"/>
        <v>13.25773195704261</v>
      </c>
      <c r="I85" s="71"/>
    </row>
    <row r="86" spans="1:9" ht="15" thickTop="1" thickBot="1" x14ac:dyDescent="0.35">
      <c r="A86" s="320" t="s">
        <v>157</v>
      </c>
      <c r="B86" s="321">
        <f t="shared" ref="B86:H86" si="22">B72+B6</f>
        <v>5610.2836503223798</v>
      </c>
      <c r="C86" s="321">
        <f t="shared" si="22"/>
        <v>5859.148054260766</v>
      </c>
      <c r="D86" s="321">
        <f t="shared" si="22"/>
        <v>11849.337831623307</v>
      </c>
      <c r="E86" s="321">
        <f t="shared" si="22"/>
        <v>8301.0038185328758</v>
      </c>
      <c r="F86" s="321">
        <f t="shared" si="22"/>
        <v>7103.3081562557691</v>
      </c>
      <c r="G86" s="321">
        <f t="shared" si="22"/>
        <v>14974.66716700775</v>
      </c>
      <c r="H86" s="322">
        <f t="shared" si="22"/>
        <v>5414.962462119548</v>
      </c>
      <c r="I86" s="71"/>
    </row>
  </sheetData>
  <mergeCells count="4">
    <mergeCell ref="A37:H37"/>
    <mergeCell ref="K18:L18"/>
    <mergeCell ref="N18:O18"/>
    <mergeCell ref="J11:L11"/>
  </mergeCells>
  <conditionalFormatting sqref="B35:C36 D35:H35 B34:H34">
    <cfRule type="colorScale" priority="57">
      <colorScale>
        <cfvo type="min"/>
        <cfvo type="percentile" val="50"/>
        <cfvo type="max"/>
        <color rgb="FFF8696B"/>
        <color rgb="FFFFEB84"/>
        <color rgb="FF63BE7B"/>
      </colorScale>
    </cfRule>
  </conditionalFormatting>
  <conditionalFormatting sqref="B34:H36">
    <cfRule type="colorScale" priority="64">
      <colorScale>
        <cfvo type="min"/>
        <cfvo type="percentile" val="50"/>
        <cfvo type="max"/>
        <color rgb="FFF8696B"/>
        <color rgb="FFFFEB84"/>
        <color rgb="FF63BE7B"/>
      </colorScale>
    </cfRule>
  </conditionalFormatting>
  <conditionalFormatting sqref="D34:H36">
    <cfRule type="colorScale" priority="62">
      <colorScale>
        <cfvo type="min"/>
        <cfvo type="percentile" val="50"/>
        <cfvo type="max"/>
        <color rgb="FFF8696B"/>
        <color rgb="FFFFEB84"/>
        <color rgb="FF63BE7B"/>
      </colorScale>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34FFA60B85ED4788681866754E016A" ma:contentTypeVersion="16" ma:contentTypeDescription="Create a new document." ma:contentTypeScope="" ma:versionID="b77f188cd9bc58b62dcf211ad9302814">
  <xsd:schema xmlns:xsd="http://www.w3.org/2001/XMLSchema" xmlns:xs="http://www.w3.org/2001/XMLSchema" xmlns:p="http://schemas.microsoft.com/office/2006/metadata/properties" xmlns:ns2="13a0b348-8834-4d7c-b06d-697f5a4282a4" xmlns:ns3="95943543-aac6-4fde-8f8b-77a9ea0cd5ed" targetNamespace="http://schemas.microsoft.com/office/2006/metadata/properties" ma:root="true" ma:fieldsID="367b602f478b113fb50ea0fb44ea6cab" ns2:_="" ns3:_="">
    <xsd:import namespace="13a0b348-8834-4d7c-b06d-697f5a4282a4"/>
    <xsd:import namespace="95943543-aac6-4fde-8f8b-77a9ea0cd5e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DocumentType"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Productionseason" minOccurs="0"/>
                <xsd:element ref="ns2:CropType" minOccurs="0"/>
                <xsd:element ref="ns2:FileType" minOccurs="0"/>
                <xsd:element ref="ns2:Commod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a0b348-8834-4d7c-b06d-697f5a4282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DocumentType" ma:index="11" nillable="true" ma:displayName="Document Type" ma:format="Dropdown" ma:internalName="DocumentType">
      <xsd:simpleType>
        <xsd:restriction base="dms:Choice">
          <xsd:enumeration value="CEC Data"/>
          <xsd:enumeration value="Choice 2"/>
          <xsd:enumeration value="Choice 3"/>
        </xsd:restrictio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63362023-a8c1-4b5e-9a31-595cfc7316f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Productionseason" ma:index="20" nillable="true" ma:displayName="Production season" ma:format="Dropdown" ma:internalName="Productionseason">
      <xsd:simpleType>
        <xsd:restriction base="dms:Choice">
          <xsd:enumeration value="2026-2027"/>
          <xsd:enumeration value="2025-2026"/>
          <xsd:enumeration value="2024-2025"/>
        </xsd:restriction>
      </xsd:simpleType>
    </xsd:element>
    <xsd:element name="CropType" ma:index="21" nillable="true" ma:displayName="Crop Type" ma:format="Dropdown" ma:internalName="CropType">
      <xsd:simpleType>
        <xsd:restriction base="dms:Choice">
          <xsd:enumeration value="Summergrain"/>
          <xsd:enumeration value="Wintercereal"/>
          <xsd:enumeration value="Choice 3"/>
        </xsd:restriction>
      </xsd:simpleType>
    </xsd:element>
    <xsd:element name="FileType" ma:index="22" nillable="true" ma:displayName="File Type" ma:format="Dropdown" ma:internalName="FileType">
      <xsd:simpleType>
        <xsd:restriction base="dms:Choice">
          <xsd:enumeration value="Budget"/>
          <xsd:enumeration value="Model"/>
        </xsd:restriction>
      </xsd:simpleType>
    </xsd:element>
    <xsd:element name="Commodity" ma:index="23" nillable="true" ma:displayName="Commodity" ma:format="Dropdown" ma:internalName="Commodity">
      <xsd:simpleType>
        <xsd:union memberTypes="dms:Text">
          <xsd:simpleType>
            <xsd:restriction base="dms:Choice">
              <xsd:enumeration value="Soybeans"/>
              <xsd:enumeration value="Maize"/>
              <xsd:enumeration value="Sunflowers"/>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95943543-aac6-4fde-8f8b-77a9ea0cd5e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c573613-ccca-48a7-99d6-f425781793e5}" ma:internalName="TaxCatchAll" ma:showField="CatchAllData" ma:web="95943543-aac6-4fde-8f8b-77a9ea0cd5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ocumentType xmlns="13a0b348-8834-4d7c-b06d-697f5a4282a4" xsi:nil="true"/>
    <TaxCatchAll xmlns="95943543-aac6-4fde-8f8b-77a9ea0cd5ed" xsi:nil="true"/>
    <lcf76f155ced4ddcb4097134ff3c332f xmlns="13a0b348-8834-4d7c-b06d-697f5a4282a4">
      <Terms xmlns="http://schemas.microsoft.com/office/infopath/2007/PartnerControls"/>
    </lcf76f155ced4ddcb4097134ff3c332f>
    <FileType xmlns="13a0b348-8834-4d7c-b06d-697f5a4282a4">Budget</FileType>
    <Productionseason xmlns="13a0b348-8834-4d7c-b06d-697f5a4282a4">2026-2027</Productionseason>
    <CropType xmlns="13a0b348-8834-4d7c-b06d-697f5a4282a4">Summergrain</CropType>
    <Commodity xmlns="13a0b348-8834-4d7c-b06d-697f5a4282a4" xsi:nil="true"/>
  </documentManagement>
</p:properties>
</file>

<file path=customXml/itemProps1.xml><?xml version="1.0" encoding="utf-8"?>
<ds:datastoreItem xmlns:ds="http://schemas.openxmlformats.org/officeDocument/2006/customXml" ds:itemID="{AD806B4B-2C43-42D1-93E1-50FAADA5A9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a0b348-8834-4d7c-b06d-697f5a4282a4"/>
    <ds:schemaRef ds:uri="95943543-aac6-4fde-8f8b-77a9ea0cd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A9CAFB-2D38-40EB-83B8-5EEFB8EE2F6B}">
  <ds:schemaRefs>
    <ds:schemaRef ds:uri="http://schemas.microsoft.com/office/2006/metadata/longProperties"/>
  </ds:schemaRefs>
</ds:datastoreItem>
</file>

<file path=customXml/itemProps3.xml><?xml version="1.0" encoding="utf-8"?>
<ds:datastoreItem xmlns:ds="http://schemas.openxmlformats.org/officeDocument/2006/customXml" ds:itemID="{31837B08-0768-4D76-9CED-7EDD8DFE37AE}">
  <ds:schemaRefs>
    <ds:schemaRef ds:uri="http://schemas.microsoft.com/sharepoint/v3/contenttype/forms"/>
  </ds:schemaRefs>
</ds:datastoreItem>
</file>

<file path=customXml/itemProps4.xml><?xml version="1.0" encoding="utf-8"?>
<ds:datastoreItem xmlns:ds="http://schemas.openxmlformats.org/officeDocument/2006/customXml" ds:itemID="{E88F46FB-3D80-49AF-8871-F482AADD057D}">
  <ds:schemaRefs>
    <ds:schemaRef ds:uri="http://schemas.microsoft.com/office/2006/documentManagement/types"/>
    <ds:schemaRef ds:uri="http://www.w3.org/XML/1998/namespace"/>
    <ds:schemaRef ds:uri="13a0b348-8834-4d7c-b06d-697f5a4282a4"/>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95943543-aac6-4fde-8f8b-77a9ea0cd5ed"/>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Pryse + Sensatiwiteitsanalise</vt:lpstr>
      <vt:lpstr>W-Mielie </vt:lpstr>
      <vt:lpstr>W-BT Mielies</vt:lpstr>
      <vt:lpstr>Sonneblom</vt:lpstr>
      <vt:lpstr>Sojabone</vt:lpstr>
      <vt:lpstr>Graansorghum</vt:lpstr>
      <vt:lpstr>Grondbone</vt:lpstr>
      <vt:lpstr>Bes-mielies</vt:lpstr>
      <vt:lpstr>Crop Comparison</vt:lpstr>
      <vt:lpstr>Grafieke</vt:lpstr>
      <vt:lpstr>Rev meters</vt:lpstr>
      <vt:lpstr>BTopbrengspeil</vt:lpstr>
      <vt:lpstr>'Bes-mielies'!Print_Area</vt:lpstr>
      <vt:lpstr>Graansorghum!Print_Area</vt:lpstr>
      <vt:lpstr>Grondbone!Print_Area</vt:lpstr>
      <vt:lpstr>Sojabone!Print_Area</vt:lpstr>
      <vt:lpstr>Sonneblom!Print_Area</vt:lpstr>
      <vt:lpstr>'W-BT Mielies'!Print_Area</vt:lpstr>
      <vt:lpstr>'W-Mielie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Private</dc:creator>
  <cp:keywords/>
  <dc:description/>
  <cp:lastModifiedBy>Cathrine Mathekga</cp:lastModifiedBy>
  <cp:revision/>
  <dcterms:created xsi:type="dcterms:W3CDTF">2007-01-09T12:07:13Z</dcterms:created>
  <dcterms:modified xsi:type="dcterms:W3CDTF">2026-08-04T12:48:41Z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Petru Fourie</vt:lpwstr>
  </property>
  <property fmtid="{D5CDD505-2E9C-101B-9397-08002B2CF9AE}" pid="3" name="Order">
    <vt:lpwstr>16552800.0000000</vt:lpwstr>
  </property>
  <property fmtid="{D5CDD505-2E9C-101B-9397-08002B2CF9AE}" pid="4" name="display_urn:schemas-microsoft-com:office:office#Author">
    <vt:lpwstr>Petru Fourie</vt:lpwstr>
  </property>
  <property fmtid="{D5CDD505-2E9C-101B-9397-08002B2CF9AE}" pid="5" name="MediaServiceImageTags">
    <vt:lpwstr/>
  </property>
  <property fmtid="{D5CDD505-2E9C-101B-9397-08002B2CF9AE}" pid="6" name="lcf76f155ced4ddcb4097134ff3c332f">
    <vt:lpwstr/>
  </property>
  <property fmtid="{D5CDD505-2E9C-101B-9397-08002B2CF9AE}" pid="7" name="TaxCatchAll">
    <vt:lpwstr/>
  </property>
  <property fmtid="{D5CDD505-2E9C-101B-9397-08002B2CF9AE}" pid="8" name="ContentTypeId">
    <vt:lpwstr>0x010100DF34FFA60B85ED4788681866754E016A</vt:lpwstr>
  </property>
  <property fmtid="{D5CDD505-2E9C-101B-9397-08002B2CF9AE}" pid="9" name="xd_ProgID">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TriggerFlowInfo">
    <vt:lpwstr/>
  </property>
  <property fmtid="{D5CDD505-2E9C-101B-9397-08002B2CF9AE}" pid="14" name="xd_Signature">
    <vt:bool>false</vt:bool>
  </property>
</Properties>
</file>