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insa2019.sharepoint.com/sites/ProductionEconomics/Produksie Begrotings_Production Budgets/"/>
    </mc:Choice>
  </mc:AlternateContent>
  <xr:revisionPtr revIDLastSave="648" documentId="13_ncr:1_{32AF14AF-33DA-4052-891C-44C42A5E93E8}" xr6:coauthVersionLast="47" xr6:coauthVersionMax="47" xr10:uidLastSave="{04756BC9-815B-40B1-8E3F-65B14EB52081}"/>
  <bookViews>
    <workbookView xWindow="-28920" yWindow="-2940" windowWidth="29040" windowHeight="15720" tabRatio="920" xr2:uid="{00000000-000D-0000-FFFF-FFFF00000000}"/>
  </bookViews>
  <sheets>
    <sheet name="Pryse + Sensatiwiteitsanalise" sheetId="38" r:id="rId1"/>
    <sheet name="Bes-mielies" sheetId="23" r:id="rId2"/>
    <sheet name="Bes-soja (vermin bewerk)" sheetId="24" r:id="rId3"/>
    <sheet name="Bes-Grondbone" sheetId="40" r:id="rId4"/>
    <sheet name="Crop Comparison" sheetId="39" r:id="rId5"/>
    <sheet name="Ref Meters" sheetId="41" r:id="rId6"/>
  </sheets>
  <externalReferences>
    <externalReference r:id="rId7"/>
  </externalReferences>
  <definedNames>
    <definedName name="Opbrengspeil">'Bes-mielies'!$S$9:$S$14</definedName>
    <definedName name="_xlnm.Print_Area" localSheetId="1">'Bes-mielies'!$A$1:$I$47</definedName>
    <definedName name="_xlnm.Print_Area" localSheetId="2">'Bes-soja (vermin bewerk)'!$A$1:$I$43</definedName>
    <definedName name="Sojaopbrengspeil">'Bes-soja (vermin bewerk)'!$S$9:$S$14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39" l="1"/>
  <c r="B13" i="39"/>
  <c r="B14" i="39"/>
  <c r="B15" i="39"/>
  <c r="B16" i="39"/>
  <c r="B17" i="39"/>
  <c r="B18" i="39"/>
  <c r="B19" i="39"/>
  <c r="B20" i="39"/>
  <c r="B21" i="39"/>
  <c r="B22" i="39"/>
  <c r="B23" i="39"/>
  <c r="B24" i="39"/>
  <c r="B25" i="39"/>
  <c r="B26" i="39"/>
  <c r="B27" i="39"/>
  <c r="D33" i="40"/>
  <c r="E33" i="40"/>
  <c r="B5" i="39" l="1"/>
  <c r="C22" i="41"/>
  <c r="C40" i="41"/>
  <c r="D12" i="39" l="1"/>
  <c r="D13" i="39"/>
  <c r="D14" i="39"/>
  <c r="D15" i="39"/>
  <c r="D16" i="39"/>
  <c r="D17" i="39"/>
  <c r="D18" i="39"/>
  <c r="D19" i="39"/>
  <c r="D20" i="39"/>
  <c r="D21" i="39"/>
  <c r="D22" i="39"/>
  <c r="D23" i="39"/>
  <c r="D24" i="39"/>
  <c r="D25" i="39"/>
  <c r="D26" i="39"/>
  <c r="D27" i="39"/>
  <c r="D11" i="39"/>
  <c r="C12" i="39"/>
  <c r="C13" i="39"/>
  <c r="C14" i="39"/>
  <c r="C15" i="39"/>
  <c r="C16" i="39"/>
  <c r="C17" i="39"/>
  <c r="C18" i="39"/>
  <c r="C19" i="39"/>
  <c r="C20" i="39"/>
  <c r="C21" i="39"/>
  <c r="C22" i="39"/>
  <c r="C23" i="39"/>
  <c r="C24" i="39"/>
  <c r="C25" i="39"/>
  <c r="C26" i="39"/>
  <c r="C27" i="39"/>
  <c r="C11" i="39"/>
  <c r="B11" i="39"/>
  <c r="D4" i="39"/>
  <c r="C4" i="39"/>
  <c r="B4" i="39"/>
  <c r="E47" i="40" l="1"/>
  <c r="D4" i="40"/>
  <c r="E34" i="24"/>
  <c r="F34" i="24"/>
  <c r="G34" i="24"/>
  <c r="H34" i="24"/>
  <c r="I34" i="24"/>
  <c r="D34" i="24"/>
  <c r="D26" i="24"/>
  <c r="D30" i="24" s="1"/>
  <c r="D32" i="24" s="1"/>
  <c r="E34" i="23"/>
  <c r="F34" i="23"/>
  <c r="G34" i="23"/>
  <c r="H34" i="23"/>
  <c r="I34" i="23"/>
  <c r="D34" i="23"/>
  <c r="D26" i="23" l="1"/>
  <c r="D30" i="23" s="1"/>
  <c r="D32" i="23" s="1"/>
  <c r="E44" i="40" l="1"/>
  <c r="E41" i="40"/>
  <c r="E37" i="40"/>
  <c r="E10" i="40"/>
  <c r="E45" i="40" s="1"/>
  <c r="G10" i="40"/>
  <c r="E39" i="40" l="1"/>
  <c r="E43" i="40" s="1"/>
  <c r="E48" i="40"/>
  <c r="D6" i="39"/>
  <c r="D30" i="39"/>
  <c r="C39" i="41" s="1"/>
  <c r="D59" i="39"/>
  <c r="D61" i="39"/>
  <c r="G26" i="23"/>
  <c r="F26" i="23"/>
  <c r="D9" i="40"/>
  <c r="D5" i="40"/>
  <c r="B30" i="39"/>
  <c r="C59" i="39"/>
  <c r="B59" i="39"/>
  <c r="C30" i="39"/>
  <c r="B28" i="38" s="1"/>
  <c r="C61" i="39"/>
  <c r="D6" i="40"/>
  <c r="D7" i="40"/>
  <c r="D8" i="40"/>
  <c r="C6" i="39"/>
  <c r="C5" i="39"/>
  <c r="B6" i="39"/>
  <c r="B60" i="39"/>
  <c r="S14" i="24"/>
  <c r="S9" i="24"/>
  <c r="U14" i="24"/>
  <c r="U13" i="24"/>
  <c r="S13" i="24"/>
  <c r="U12" i="24"/>
  <c r="S12" i="24"/>
  <c r="U11" i="24"/>
  <c r="S11" i="24"/>
  <c r="U10" i="24"/>
  <c r="S10" i="24"/>
  <c r="U9" i="24"/>
  <c r="U14" i="23"/>
  <c r="U13" i="23"/>
  <c r="U12" i="23"/>
  <c r="U11" i="23"/>
  <c r="U10" i="23"/>
  <c r="U9" i="23"/>
  <c r="S14" i="23"/>
  <c r="S13" i="23"/>
  <c r="S12" i="23"/>
  <c r="S11" i="23"/>
  <c r="S10" i="23"/>
  <c r="S9" i="23"/>
  <c r="T9" i="23"/>
  <c r="I26" i="23"/>
  <c r="H26" i="23"/>
  <c r="H30" i="23" s="1"/>
  <c r="H32" i="23" s="1"/>
  <c r="E26" i="23"/>
  <c r="E26" i="24"/>
  <c r="E30" i="24" s="1"/>
  <c r="E32" i="24" s="1"/>
  <c r="F26" i="24"/>
  <c r="G26" i="24"/>
  <c r="H26" i="24"/>
  <c r="H30" i="24" s="1"/>
  <c r="H32" i="24" s="1"/>
  <c r="I26" i="24"/>
  <c r="D39" i="24"/>
  <c r="D37" i="24"/>
  <c r="I37" i="24" s="1"/>
  <c r="D37" i="23"/>
  <c r="G37" i="23" s="1"/>
  <c r="B34" i="38"/>
  <c r="B21" i="38"/>
  <c r="B31" i="38"/>
  <c r="E32" i="38" s="1"/>
  <c r="E19" i="38"/>
  <c r="E18" i="38"/>
  <c r="E17" i="38"/>
  <c r="B33" i="38"/>
  <c r="B20" i="38"/>
  <c r="B22" i="38" s="1"/>
  <c r="E3" i="23" s="1"/>
  <c r="Q19" i="38"/>
  <c r="Q20" i="38"/>
  <c r="Q21" i="38"/>
  <c r="E20" i="38"/>
  <c r="E21" i="38"/>
  <c r="B61" i="39"/>
  <c r="T13" i="23"/>
  <c r="Q18" i="38"/>
  <c r="Q17" i="38"/>
  <c r="I39" i="24" l="1"/>
  <c r="I30" i="24"/>
  <c r="I32" i="24" s="1"/>
  <c r="T11" i="24"/>
  <c r="F30" i="24"/>
  <c r="T12" i="24"/>
  <c r="G30" i="24"/>
  <c r="G32" i="24" s="1"/>
  <c r="B15" i="38"/>
  <c r="C5" i="41"/>
  <c r="T12" i="23"/>
  <c r="G30" i="23"/>
  <c r="G32" i="23" s="1"/>
  <c r="T14" i="23"/>
  <c r="I30" i="23"/>
  <c r="I32" i="23" s="1"/>
  <c r="T11" i="23"/>
  <c r="F30" i="23"/>
  <c r="F32" i="23" s="1"/>
  <c r="T10" i="23"/>
  <c r="E30" i="23"/>
  <c r="E32" i="23" s="1"/>
  <c r="D10" i="40"/>
  <c r="T10" i="24"/>
  <c r="E39" i="24"/>
  <c r="T9" i="24"/>
  <c r="B28" i="39"/>
  <c r="C4" i="41" s="1"/>
  <c r="D28" i="39"/>
  <c r="D43" i="40"/>
  <c r="B35" i="38"/>
  <c r="E3" i="24" s="1"/>
  <c r="E31" i="38"/>
  <c r="E30" i="38" s="1"/>
  <c r="E33" i="38"/>
  <c r="E34" i="38" s="1"/>
  <c r="Q32" i="38"/>
  <c r="C28" i="39"/>
  <c r="D5" i="39"/>
  <c r="E37" i="24"/>
  <c r="I37" i="23"/>
  <c r="F37" i="23"/>
  <c r="H36" i="23"/>
  <c r="D36" i="23"/>
  <c r="G36" i="23"/>
  <c r="C7" i="39"/>
  <c r="C64" i="39" s="1"/>
  <c r="D44" i="40"/>
  <c r="I36" i="23"/>
  <c r="J28" i="38"/>
  <c r="K28" i="38" s="1"/>
  <c r="T14" i="24"/>
  <c r="T13" i="24"/>
  <c r="G37" i="24"/>
  <c r="C60" i="39"/>
  <c r="H37" i="24"/>
  <c r="F37" i="24"/>
  <c r="E39" i="23"/>
  <c r="J15" i="38"/>
  <c r="E37" i="23"/>
  <c r="H37" i="23"/>
  <c r="B7" i="39"/>
  <c r="B8" i="39" s="1"/>
  <c r="C6" i="41" s="1"/>
  <c r="D32" i="39" l="1"/>
  <c r="D71" i="39" s="1"/>
  <c r="C38" i="41"/>
  <c r="F32" i="24"/>
  <c r="F40" i="24"/>
  <c r="C32" i="39"/>
  <c r="C71" i="39" s="1"/>
  <c r="C72" i="39" s="1"/>
  <c r="C86" i="39" s="1"/>
  <c r="C21" i="41"/>
  <c r="C10" i="41"/>
  <c r="C8" i="41"/>
  <c r="D6" i="41" s="1"/>
  <c r="G8" i="41"/>
  <c r="B27" i="38"/>
  <c r="B29" i="38" s="1"/>
  <c r="B34" i="39"/>
  <c r="C68" i="39"/>
  <c r="C69" i="39" s="1"/>
  <c r="C83" i="39" s="1"/>
  <c r="B68" i="39"/>
  <c r="B69" i="39" s="1"/>
  <c r="B83" i="39" s="1"/>
  <c r="B14" i="38"/>
  <c r="B16" i="38" s="1"/>
  <c r="B32" i="39"/>
  <c r="B71" i="39" s="1"/>
  <c r="B72" i="39" s="1"/>
  <c r="B86" i="39" s="1"/>
  <c r="D68" i="39"/>
  <c r="D69" i="39" s="1"/>
  <c r="D83" i="39" s="1"/>
  <c r="Q31" i="38"/>
  <c r="Q30" i="38" s="1"/>
  <c r="Q33" i="38"/>
  <c r="Q34" i="38" s="1"/>
  <c r="F36" i="23"/>
  <c r="E36" i="23"/>
  <c r="D47" i="40"/>
  <c r="D45" i="40"/>
  <c r="C8" i="39"/>
  <c r="E40" i="23"/>
  <c r="I28" i="38"/>
  <c r="J29" i="38"/>
  <c r="V28" i="38"/>
  <c r="W28" i="38" s="1"/>
  <c r="D7" i="39"/>
  <c r="D60" i="39"/>
  <c r="D72" i="39"/>
  <c r="D86" i="39" s="1"/>
  <c r="K29" i="38"/>
  <c r="L28" i="38"/>
  <c r="H40" i="24"/>
  <c r="H39" i="24"/>
  <c r="D40" i="24"/>
  <c r="C85" i="39"/>
  <c r="C65" i="39"/>
  <c r="F39" i="24"/>
  <c r="E40" i="24"/>
  <c r="I40" i="24"/>
  <c r="G40" i="24"/>
  <c r="G39" i="24"/>
  <c r="F39" i="23"/>
  <c r="F40" i="23"/>
  <c r="B64" i="39"/>
  <c r="I39" i="23"/>
  <c r="I40" i="23"/>
  <c r="V15" i="38"/>
  <c r="I15" i="38"/>
  <c r="K15" i="38"/>
  <c r="J16" i="38"/>
  <c r="D40" i="23"/>
  <c r="D39" i="23"/>
  <c r="G39" i="23"/>
  <c r="G40" i="23"/>
  <c r="H40" i="23"/>
  <c r="H39" i="23"/>
  <c r="G42" i="41" l="1"/>
  <c r="C42" i="41"/>
  <c r="G37" i="41"/>
  <c r="C35" i="39"/>
  <c r="C78" i="39" s="1"/>
  <c r="C79" i="39" s="1"/>
  <c r="C23" i="41"/>
  <c r="U28" i="38"/>
  <c r="G3" i="41"/>
  <c r="D5" i="41"/>
  <c r="D4" i="41"/>
  <c r="C82" i="39"/>
  <c r="J34" i="38"/>
  <c r="D48" i="40"/>
  <c r="C34" i="39"/>
  <c r="C75" i="39" s="1"/>
  <c r="C76" i="39" s="1"/>
  <c r="J30" i="38"/>
  <c r="J31" i="38"/>
  <c r="J32" i="38"/>
  <c r="D64" i="39"/>
  <c r="D8" i="39"/>
  <c r="V29" i="38"/>
  <c r="V31" i="38" s="1"/>
  <c r="H28" i="38"/>
  <c r="I29" i="38"/>
  <c r="J33" i="38"/>
  <c r="V33" i="38"/>
  <c r="T28" i="38"/>
  <c r="U29" i="38"/>
  <c r="W29" i="38"/>
  <c r="X28" i="38"/>
  <c r="M28" i="38"/>
  <c r="L29" i="38"/>
  <c r="K30" i="38"/>
  <c r="K34" i="38"/>
  <c r="K32" i="38"/>
  <c r="K33" i="38"/>
  <c r="K31" i="38"/>
  <c r="I16" i="38"/>
  <c r="H15" i="38"/>
  <c r="W15" i="38"/>
  <c r="U15" i="38"/>
  <c r="V16" i="38"/>
  <c r="B85" i="39"/>
  <c r="B82" i="39"/>
  <c r="B65" i="39"/>
  <c r="B35" i="39"/>
  <c r="B78" i="39" s="1"/>
  <c r="B79" i="39" s="1"/>
  <c r="B75" i="39"/>
  <c r="B76" i="39" s="1"/>
  <c r="J18" i="38"/>
  <c r="J17" i="38"/>
  <c r="J19" i="38"/>
  <c r="J20" i="38"/>
  <c r="J21" i="38"/>
  <c r="K16" i="38"/>
  <c r="L15" i="38"/>
  <c r="D38" i="41" l="1"/>
  <c r="D40" i="41"/>
  <c r="D39" i="41"/>
  <c r="D42" i="41" s="1"/>
  <c r="G39" i="41" s="1"/>
  <c r="C25" i="41"/>
  <c r="G25" i="41"/>
  <c r="G20" i="41" s="1"/>
  <c r="D8" i="41"/>
  <c r="G5" i="41" s="1"/>
  <c r="V32" i="38"/>
  <c r="V30" i="38"/>
  <c r="I33" i="38"/>
  <c r="I30" i="38"/>
  <c r="I34" i="38"/>
  <c r="I31" i="38"/>
  <c r="I32" i="38"/>
  <c r="H29" i="38"/>
  <c r="G28" i="38"/>
  <c r="D34" i="39"/>
  <c r="D75" i="39" s="1"/>
  <c r="D76" i="39" s="1"/>
  <c r="D35" i="39"/>
  <c r="D78" i="39" s="1"/>
  <c r="D79" i="39" s="1"/>
  <c r="D65" i="39"/>
  <c r="D82" i="39"/>
  <c r="D85" i="39"/>
  <c r="V34" i="38"/>
  <c r="W32" i="38"/>
  <c r="W34" i="38"/>
  <c r="W33" i="38"/>
  <c r="W31" i="38"/>
  <c r="W30" i="38"/>
  <c r="U34" i="38"/>
  <c r="U32" i="38"/>
  <c r="U33" i="38"/>
  <c r="U30" i="38"/>
  <c r="U31" i="38"/>
  <c r="M29" i="38"/>
  <c r="N28" i="38"/>
  <c r="N29" i="38" s="1"/>
  <c r="S28" i="38"/>
  <c r="T29" i="38"/>
  <c r="L31" i="38"/>
  <c r="L34" i="38"/>
  <c r="L32" i="38"/>
  <c r="L33" i="38"/>
  <c r="L30" i="38"/>
  <c r="X29" i="38"/>
  <c r="Y28" i="38"/>
  <c r="K21" i="38"/>
  <c r="K18" i="38"/>
  <c r="K19" i="38"/>
  <c r="K20" i="38"/>
  <c r="K17" i="38"/>
  <c r="V20" i="38"/>
  <c r="V21" i="38"/>
  <c r="V17" i="38"/>
  <c r="V19" i="38"/>
  <c r="V18" i="38"/>
  <c r="U16" i="38"/>
  <c r="T15" i="38"/>
  <c r="W16" i="38"/>
  <c r="X15" i="38"/>
  <c r="H16" i="38"/>
  <c r="G15" i="38"/>
  <c r="M15" i="38"/>
  <c r="L16" i="38"/>
  <c r="I18" i="38"/>
  <c r="I21" i="38"/>
  <c r="I19" i="38"/>
  <c r="I20" i="38"/>
  <c r="I17" i="38"/>
  <c r="D21" i="41" l="1"/>
  <c r="D22" i="41"/>
  <c r="D23" i="41"/>
  <c r="G29" i="38"/>
  <c r="F28" i="38"/>
  <c r="F29" i="38" s="1"/>
  <c r="H31" i="38"/>
  <c r="H30" i="38"/>
  <c r="H32" i="38"/>
  <c r="H33" i="38"/>
  <c r="H34" i="38"/>
  <c r="Y29" i="38"/>
  <c r="Z28" i="38"/>
  <c r="Z29" i="38" s="1"/>
  <c r="R28" i="38"/>
  <c r="R29" i="38" s="1"/>
  <c r="S29" i="38"/>
  <c r="X34" i="38"/>
  <c r="X33" i="38"/>
  <c r="X32" i="38"/>
  <c r="X31" i="38"/>
  <c r="X30" i="38"/>
  <c r="T33" i="38"/>
  <c r="T30" i="38"/>
  <c r="T32" i="38"/>
  <c r="T31" i="38"/>
  <c r="T34" i="38"/>
  <c r="N33" i="38"/>
  <c r="N34" i="38"/>
  <c r="N30" i="38"/>
  <c r="N32" i="38"/>
  <c r="N31" i="38"/>
  <c r="M30" i="38"/>
  <c r="M33" i="38"/>
  <c r="M32" i="38"/>
  <c r="M31" i="38"/>
  <c r="M34" i="38"/>
  <c r="F15" i="38"/>
  <c r="F16" i="38" s="1"/>
  <c r="G16" i="38"/>
  <c r="X16" i="38"/>
  <c r="Y15" i="38"/>
  <c r="W21" i="38"/>
  <c r="W17" i="38"/>
  <c r="W19" i="38"/>
  <c r="W20" i="38"/>
  <c r="W18" i="38"/>
  <c r="T16" i="38"/>
  <c r="S15" i="38"/>
  <c r="H19" i="38"/>
  <c r="H20" i="38"/>
  <c r="H21" i="38"/>
  <c r="H17" i="38"/>
  <c r="H18" i="38"/>
  <c r="U19" i="38"/>
  <c r="U18" i="38"/>
  <c r="U21" i="38"/>
  <c r="U20" i="38"/>
  <c r="U17" i="38"/>
  <c r="L17" i="38"/>
  <c r="L21" i="38"/>
  <c r="L18" i="38"/>
  <c r="L19" i="38"/>
  <c r="L20" i="38"/>
  <c r="M16" i="38"/>
  <c r="N15" i="38"/>
  <c r="N16" i="38" s="1"/>
  <c r="D25" i="41" l="1"/>
  <c r="G22" i="41" s="1"/>
  <c r="F34" i="38"/>
  <c r="F30" i="38"/>
  <c r="F32" i="38"/>
  <c r="F31" i="38"/>
  <c r="F33" i="38"/>
  <c r="G30" i="38"/>
  <c r="G31" i="38"/>
  <c r="G34" i="38"/>
  <c r="G33" i="38"/>
  <c r="G32" i="38"/>
  <c r="Z34" i="38"/>
  <c r="Z31" i="38"/>
  <c r="Z30" i="38"/>
  <c r="Z32" i="38"/>
  <c r="Z33" i="38"/>
  <c r="S31" i="38"/>
  <c r="S33" i="38"/>
  <c r="S34" i="38"/>
  <c r="S30" i="38"/>
  <c r="S32" i="38"/>
  <c r="R34" i="38"/>
  <c r="R32" i="38"/>
  <c r="R33" i="38"/>
  <c r="R30" i="38"/>
  <c r="R31" i="38"/>
  <c r="Y30" i="38"/>
  <c r="Y32" i="38"/>
  <c r="Y31" i="38"/>
  <c r="Y34" i="38"/>
  <c r="Y33" i="38"/>
  <c r="G18" i="38"/>
  <c r="G17" i="38"/>
  <c r="G20" i="38"/>
  <c r="G21" i="38"/>
  <c r="G19" i="38"/>
  <c r="N17" i="38"/>
  <c r="N20" i="38"/>
  <c r="N18" i="38"/>
  <c r="N19" i="38"/>
  <c r="N21" i="38"/>
  <c r="Y16" i="38"/>
  <c r="Z15" i="38"/>
  <c r="Z16" i="38" s="1"/>
  <c r="M21" i="38"/>
  <c r="M19" i="38"/>
  <c r="M18" i="38"/>
  <c r="M20" i="38"/>
  <c r="M17" i="38"/>
  <c r="R15" i="38"/>
  <c r="R16" i="38" s="1"/>
  <c r="S16" i="38"/>
  <c r="X21" i="38"/>
  <c r="X19" i="38"/>
  <c r="X18" i="38"/>
  <c r="X20" i="38"/>
  <c r="X17" i="38"/>
  <c r="T19" i="38"/>
  <c r="T20" i="38"/>
  <c r="T17" i="38"/>
  <c r="T18" i="38"/>
  <c r="T21" i="38"/>
  <c r="F17" i="38"/>
  <c r="F21" i="38"/>
  <c r="F19" i="38"/>
  <c r="F20" i="38"/>
  <c r="F18" i="38"/>
  <c r="Z17" i="38" l="1"/>
  <c r="Z18" i="38"/>
  <c r="Z19" i="38"/>
  <c r="Z20" i="38"/>
  <c r="Z21" i="38"/>
  <c r="S21" i="38"/>
  <c r="S20" i="38"/>
  <c r="S17" i="38"/>
  <c r="S19" i="38"/>
  <c r="S18" i="38"/>
  <c r="Y20" i="38"/>
  <c r="Y17" i="38"/>
  <c r="Y19" i="38"/>
  <c r="Y21" i="38"/>
  <c r="Y18" i="38"/>
  <c r="R17" i="38"/>
  <c r="R20" i="38"/>
  <c r="R18" i="38"/>
  <c r="R21" i="38"/>
  <c r="R19"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Petru Fourie</author>
  </authors>
  <commentList>
    <comment ref="D3" authorId="0" shapeId="0" xr:uid="{00000000-0006-0000-0000-000001000000}">
      <text>
        <r>
          <rPr>
            <b/>
            <sz val="9"/>
            <color indexed="81"/>
            <rFont val="Tahoma"/>
            <family val="2"/>
          </rPr>
          <t>Petru Fourie:</t>
        </r>
        <r>
          <rPr>
            <sz val="9"/>
            <color indexed="81"/>
            <rFont val="Tahoma"/>
            <family val="2"/>
          </rPr>
          <t xml:space="preserve">
Include location diff, marketing cost etc</t>
        </r>
      </text>
    </comment>
  </commentList>
</comments>
</file>

<file path=xl/sharedStrings.xml><?xml version="1.0" encoding="utf-8"?>
<sst xmlns="http://schemas.openxmlformats.org/spreadsheetml/2006/main" count="276" uniqueCount="149">
  <si>
    <t>Noord Kaap / Northern Cape</t>
  </si>
  <si>
    <t>2026/27 season</t>
  </si>
  <si>
    <t>Datum opgedateer / Date updated</t>
  </si>
  <si>
    <t>Gewas</t>
  </si>
  <si>
    <t>SAFEX pryse (R/ton)</t>
  </si>
  <si>
    <t>Total deductions (R/ton)</t>
  </si>
  <si>
    <t>Mielies / Maize- Jul 27</t>
  </si>
  <si>
    <t>Sojabone / Soybeans- Mei 27</t>
  </si>
  <si>
    <t>Grondbone/ Groundnuts:  Keur/ Choice 1</t>
  </si>
  <si>
    <t xml:space="preserve">                    Keur/ Choice 2</t>
  </si>
  <si>
    <t xml:space="preserve">                    Diverse</t>
  </si>
  <si>
    <t xml:space="preserve">                    Pers (eet) / Crush (eat)</t>
  </si>
  <si>
    <t xml:space="preserve">                    Pers (olie) / Crush (oil)</t>
  </si>
  <si>
    <t xml:space="preserve">                    Hooi verkope / sales</t>
  </si>
  <si>
    <t>BT MIELIES /  MAIZE</t>
  </si>
  <si>
    <t>MIELIES: SENSITIWITEITSANALISE - TOTALE KOSTES ( DIREKTE KOSTE + VASTE KOSTE) (R/ton)</t>
  </si>
  <si>
    <t>MIELIES: SENSITIWITEITSANALISE - DIREKTE KOSTE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</si>
  <si>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</si>
  <si>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</si>
  <si>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</si>
  <si>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</si>
  <si>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</si>
  <si>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</si>
  <si>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</si>
  <si>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</si>
  <si>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SAFEX Jul'27 WM 1 prys/price  (R/ton)</t>
  </si>
  <si>
    <t xml:space="preserve">Aftrekkings / Deductions </t>
  </si>
  <si>
    <t>Produsenteprys/ Producer price (R/ton)</t>
  </si>
  <si>
    <t>SOJABONE VERMIN BEWERKING / SOYBEANS MIN TILLAGE</t>
  </si>
  <si>
    <t>SOJABONE: SENSITIWITEITSANALISE - TOTALE KOSTES ( DIREKTE KOSTE + VASTE KOSTE) (R/ton)</t>
  </si>
  <si>
    <t>SOJABONE: SENSITIWITEITSANALISE - DIREKTE KOSTE (R/ton)</t>
  </si>
  <si>
    <t>Huidige</t>
  </si>
  <si>
    <t>SAFEX Mei'27 Soy prys/price  (R/ton)</t>
  </si>
  <si>
    <t>PRODUKSIEJAAR   2026-27                     PRODUCTION YEAR 2026-27</t>
  </si>
  <si>
    <t>Huidige Produkprys op plaas vir beste graad / Current product price for the best grade (R/TON) (Safex min bemarkingskoste/marketing cost)</t>
  </si>
  <si>
    <t>Rand/ton</t>
  </si>
  <si>
    <t>Beplanningsopbrengs / Estimated yields (ton/ha)</t>
  </si>
  <si>
    <t>Bruto produksiewaarde / Gross production value (R/ha)</t>
  </si>
  <si>
    <t>Mielies</t>
  </si>
  <si>
    <t>Direk Toedeelbare veranderlike koste / Direct Allocated Variable costs (R/ha)</t>
  </si>
  <si>
    <t>Opbrengspeil</t>
  </si>
  <si>
    <t>Lopende koste</t>
  </si>
  <si>
    <t>Oorhoofse koste</t>
  </si>
  <si>
    <t>Saad / Seed</t>
  </si>
  <si>
    <t>Kunsmis / Fertiliser</t>
  </si>
  <si>
    <t>Kalk / Lime</t>
  </si>
  <si>
    <t>Brandstof / Fuel</t>
  </si>
  <si>
    <t>Reparasie / Reparation</t>
  </si>
  <si>
    <t>Onkruiddoders / Herbicide</t>
  </si>
  <si>
    <t>Plaagdoder / Pest control</t>
  </si>
  <si>
    <t>Insetversekering / Input insurance</t>
  </si>
  <si>
    <t>Besproeiingskoste / Irrigation cost</t>
  </si>
  <si>
    <t>Graanprysverskansing / Grain hedging</t>
  </si>
  <si>
    <t>Kontrakstroop / Contract Harvesting</t>
  </si>
  <si>
    <t>Oesversekering / Harvest insurance</t>
  </si>
  <si>
    <t>Lugspuit / Aerial spray</t>
  </si>
  <si>
    <t>Losarbeid / Casual labour</t>
  </si>
  <si>
    <t>Droogkoste / Drying cost</t>
  </si>
  <si>
    <t>Verpakking en Pakmateriaal / Packaging and packaging material</t>
  </si>
  <si>
    <t>Produksiekrediet rente /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</si>
  <si>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</si>
  <si>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</si>
  <si>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</si>
  <si>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</si>
  <si>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</si>
  <si>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</si>
  <si>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Huidige Safex prys / Current Safex price</t>
  </si>
  <si>
    <t>BRUTO MARGE / GROSS MARGIN  (R/ha)</t>
  </si>
  <si>
    <t>NETTO MARGE / NETT MARGIN  (R/ha)</t>
  </si>
  <si>
    <r>
      <t>Disclaimer:</t>
    </r>
    <r>
      <rPr>
        <sz val="10"/>
        <rFont val="Calibri"/>
        <family val="2"/>
      </rPr>
      <t xml:space="preserve"> The information herein has been obtained from various sources, the accuracy and/or completeness of which Grain SA does not</t>
    </r>
  </si>
  <si>
    <t>guarantee and for which Grain SA accepts no liability. Any prices or levels contained herein are preliminary and indicative only and do not</t>
  </si>
  <si>
    <t>represent bids or offers. These indications are provided solely for your information and consideration.</t>
  </si>
  <si>
    <t xml:space="preserve">                                        Thank you to the Maize Trust for partially funding this project</t>
  </si>
  <si>
    <t>Produsent prys raming vir BESPROEIING SOJABONE (vermin bewerking) vir             Producer price framework for IRRIGATION SOYBEANS (minimum tillage) for</t>
  </si>
  <si>
    <t>PRODUKSIEJAAR   2026-267                     PRODUCTION YEAR 2026-27</t>
  </si>
  <si>
    <t>Soja</t>
  </si>
  <si>
    <r>
      <t>Disclaimer:</t>
    </r>
    <r>
      <rPr>
        <sz val="11"/>
        <rFont val="Calibri"/>
        <family val="2"/>
      </rPr>
      <t xml:space="preserve"> The information herein has been obtained from various sources, the accuracy and/or completeness of which Grain SA does not</t>
    </r>
  </si>
  <si>
    <t>Produsent prys raming vir besproeiing GRONDBONE vir die /                                                               Producer price framework for irrigation GROUNDNUTS for the</t>
  </si>
  <si>
    <t>PRODUKSIEJAAR   2026-27               PRODUCTION YEAR 2026-27</t>
  </si>
  <si>
    <t>Graadverdeling / Grade distribution</t>
  </si>
  <si>
    <t>Prys per graad / Price per grade (R/ton)</t>
  </si>
  <si>
    <t>%</t>
  </si>
  <si>
    <t>Keur / Choice 1</t>
  </si>
  <si>
    <t>Keur / Choice 2</t>
  </si>
  <si>
    <t>Diverse / Diverse</t>
  </si>
  <si>
    <t xml:space="preserve">Pers (eet) / Crusch </t>
  </si>
  <si>
    <t>Pers (olie)</t>
  </si>
  <si>
    <t>Hooi verkope / sales</t>
  </si>
  <si>
    <t>Gemiddelde prys vir al die grade / Average price for all grades</t>
  </si>
  <si>
    <t>Verwagte minimum prys SONDER wins/ Expected minimum price, WITHOUT profit</t>
  </si>
  <si>
    <t>Huidige prys / Current price (keur)</t>
  </si>
  <si>
    <t>Gemiddelde prys vir al die grade / Average price for all the grades</t>
  </si>
  <si>
    <r>
      <rPr>
        <b/>
        <sz val="11"/>
        <color indexed="30"/>
        <rFont val="Calibri"/>
        <family val="2"/>
      </rPr>
      <t xml:space="preserve">NORTHERN CAPE </t>
    </r>
    <r>
      <rPr>
        <b/>
        <sz val="11"/>
        <color indexed="8"/>
        <rFont val="Calibri"/>
        <family val="2"/>
      </rPr>
      <t>INCOME &amp; COST BUDGETS - SUMMER CROPS 2026/27</t>
    </r>
  </si>
  <si>
    <t>Column1</t>
  </si>
  <si>
    <t>Column2</t>
  </si>
  <si>
    <t>Column3</t>
  </si>
  <si>
    <t>Crop</t>
  </si>
  <si>
    <t>Irr-Maize</t>
  </si>
  <si>
    <t>Irr-Soy</t>
  </si>
  <si>
    <t>Irr-Groundnuts</t>
  </si>
  <si>
    <t>National 5-year average (2020/21-2024/25 production seasons)</t>
  </si>
  <si>
    <t xml:space="preserve">1) INCOME </t>
  </si>
  <si>
    <t>Yellow Maize</t>
  </si>
  <si>
    <t>Yield target (ton/ha)</t>
  </si>
  <si>
    <t>Soybeans</t>
  </si>
  <si>
    <t xml:space="preserve">SAFEX: Estimated Price </t>
  </si>
  <si>
    <t>Groundnuts</t>
  </si>
  <si>
    <t xml:space="preserve">Deductions </t>
  </si>
  <si>
    <t>Net Farm Gate Price</t>
  </si>
  <si>
    <t>GROSS INCOME (R/ha)</t>
  </si>
  <si>
    <t xml:space="preserve">2) VARIABLE EXPENDITURES </t>
  </si>
  <si>
    <t>TOTAL VARIABLE EXPENDITURE (R/ha)</t>
  </si>
  <si>
    <t>TOTAL FIXED COST (R/ha)</t>
  </si>
  <si>
    <t>TOTAL COST (R/ha)</t>
  </si>
  <si>
    <t>3) GROSS MARGIN  (R/ha)</t>
  </si>
  <si>
    <t>4) NETT MARGIN  (R/ha)</t>
  </si>
  <si>
    <r>
      <rPr>
        <b/>
        <sz val="11"/>
        <rFont val="Calibri"/>
        <family val="2"/>
      </rPr>
      <t>Disclaimer:</t>
    </r>
    <r>
      <rPr>
        <sz val="10"/>
        <rFont val="Arial"/>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</si>
  <si>
    <t xml:space="preserve">SUMMARY </t>
  </si>
  <si>
    <t>LGO (ton/ha)</t>
  </si>
  <si>
    <t>Net Farm Gate Price (R/ha)</t>
  </si>
  <si>
    <t>Net Farm Gate Price (R/ton)</t>
  </si>
  <si>
    <t xml:space="preserve">2) EXPENDITURES </t>
  </si>
  <si>
    <t>Total variable cost (R/ha)</t>
  </si>
  <si>
    <t>Total variable cost (R/ton)</t>
  </si>
  <si>
    <t>Total variable &amp; fixed expenditure (R/ha)</t>
  </si>
  <si>
    <t>Total variable &amp; fixed expenditure (R/ton)</t>
  </si>
  <si>
    <t>3) MARGIN</t>
  </si>
  <si>
    <t>Gross margin (R/ha)</t>
  </si>
  <si>
    <t>Gross margin (R/ton)</t>
  </si>
  <si>
    <t>Nett margin (R/ha)</t>
  </si>
  <si>
    <t>Net margin (R/ton)</t>
  </si>
  <si>
    <t>BREAK-EVEN &amp; PROFITABILITY (ONLY variable cost)</t>
  </si>
  <si>
    <t>Break-even yields (t/ha)</t>
  </si>
  <si>
    <t>Break-even Safex price (t/ha)</t>
  </si>
  <si>
    <t>BREAK-EVEN &amp; PROFITABILITY (variable &amp; fixed cost)</t>
  </si>
  <si>
    <t>Winsgewendheid: Besproeiing Mielies</t>
  </si>
  <si>
    <t>Pointer</t>
  </si>
  <si>
    <t>Start</t>
  </si>
  <si>
    <t>% NM van tot</t>
  </si>
  <si>
    <t>Veranderlike koste</t>
  </si>
  <si>
    <t>Vaste koste</t>
  </si>
  <si>
    <t>End</t>
  </si>
  <si>
    <t>Totale inkomste</t>
  </si>
  <si>
    <t>Max</t>
  </si>
  <si>
    <t>Totaal</t>
  </si>
  <si>
    <t>Netto Marge</t>
  </si>
  <si>
    <t>Winsgewendheid: Besproeiing Sojabone</t>
  </si>
  <si>
    <t>Winsgewendheid: Besproeiing Grondbone</t>
  </si>
  <si>
    <t>Produsent prys raming vir BESPROEIING MIELIES vir die  / Producer price framework for IRRIGATION MAIZE for the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</si>
</sst>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0_)"/>
    <numFmt numFmtId="169" formatCode="0_)"/>
    <numFmt numFmtId="170" formatCode="0.0"/>
    <numFmt numFmtId="171" formatCode="_ * #,##0_ ;_ * \-#,##0_ ;_ * &quot;-&quot;??_ ;_ @_ "/>
    <numFmt numFmtId="172" formatCode="&quot;R&quot;\ #,##0"/>
    <numFmt numFmtId="173" formatCode="&quot;R&quot;\ #,##0.00"/>
    <numFmt numFmtId="174" formatCode="_ [$R-1C09]\ * #,##0.00_ ;_ [$R-1C09]\ * \-#,##0.00_ ;_ [$R-1C09]\ * &quot;-&quot;??_ ;_ @_ "/>
    <numFmt numFmtId="175" formatCode="_ * #,##0.0_ ;_ * \-#,##0.0_ ;_ * &quot;-&quot;?_ ;_ @_ "/>
    <numFmt numFmtId="176" formatCode="_-[$R-1C09]* #,##0.00_-;\-[$R-1C09]* #,##0.00_-;_-[$R-1C09]* &quot;-&quot;??_-;_-@_-"/>
    <numFmt numFmtId="177" formatCode="&quot;R&quot;#,##0.00"/>
    <numFmt numFmtId="178" formatCode="&quot;R&quot;#,##0"/>
  </numFmts>
  <fonts count="43" x14ac:knownFonts="1">
    <font>
      <sz val="10"/>
      <name val="Arial"/>
    </font>
    <font>
      <sz val="11"/>
      <color theme="1"/>
      <name val="Calibri"/>
      <family val="2"/>
      <scheme val="minor"/>
    </font>
    <font>
      <b/>
      <sz val="10"/>
      <name val="Arial"/>
      <family val="2"/>
    </font>
    <font>
      <sz val="10"/>
      <name val="Arial"/>
      <family val="2"/>
    </font>
    <font>
      <b/>
      <sz val="10"/>
      <color indexed="10"/>
      <name val="Arial"/>
      <family val="2"/>
    </font>
    <font>
      <u/>
      <sz val="10"/>
      <color indexed="12"/>
      <name val="Courier"/>
      <family val="3"/>
    </font>
    <font>
      <b/>
      <sz val="12"/>
      <name val="Arial"/>
      <family val="2"/>
    </font>
    <font>
      <sz val="12"/>
      <name val="Arial"/>
      <family val="2"/>
    </font>
    <font>
      <sz val="10"/>
      <name val="Arial"/>
      <family val="2"/>
    </font>
    <font>
      <sz val="8"/>
      <name val="Arial"/>
      <family val="2"/>
    </font>
    <font>
      <sz val="10"/>
      <name val="Arial Black"/>
      <family val="2"/>
    </font>
    <font>
      <sz val="10"/>
      <name val="Segoe UI"/>
      <family val="2"/>
    </font>
    <font>
      <sz val="11"/>
      <color indexed="8"/>
      <name val="Calibri"/>
      <family val="2"/>
    </font>
    <font>
      <sz val="10"/>
      <name val="Arial"/>
      <family val="2"/>
    </font>
    <font>
      <b/>
      <sz val="11"/>
      <name val="Calibri"/>
      <family val="2"/>
    </font>
    <font>
      <sz val="11"/>
      <name val="Calibri"/>
      <family val="2"/>
    </font>
    <font>
      <b/>
      <sz val="10"/>
      <name val="Calibri"/>
      <family val="2"/>
    </font>
    <font>
      <sz val="10"/>
      <name val="Calibri"/>
      <family val="2"/>
    </font>
    <font>
      <sz val="9"/>
      <color indexed="81"/>
      <name val="Tahoma"/>
      <family val="2"/>
    </font>
    <font>
      <b/>
      <sz val="9"/>
      <color indexed="81"/>
      <name val="Tahoma"/>
      <family val="2"/>
    </font>
    <font>
      <sz val="10"/>
      <name val="Arial"/>
      <family val="2"/>
    </font>
    <font>
      <u/>
      <sz val="7.5"/>
      <color indexed="12"/>
      <name val="Arial"/>
      <family val="2"/>
    </font>
    <font>
      <b/>
      <sz val="11"/>
      <color indexed="8"/>
      <name val="Calibri"/>
      <family val="2"/>
    </font>
    <font>
      <sz val="10"/>
      <name val="Arial"/>
      <family val="2"/>
    </font>
    <font>
      <sz val="11"/>
      <name val="Times New Roman"/>
      <family val="1"/>
    </font>
    <font>
      <b/>
      <sz val="11"/>
      <color indexed="30"/>
      <name val="Calibri"/>
      <family val="2"/>
    </font>
    <font>
      <sz val="11"/>
      <color theme="1"/>
      <name val="Calibri"/>
      <family val="2"/>
      <scheme val="minor"/>
    </font>
    <font>
      <sz val="10"/>
      <color theme="1"/>
      <name val="Arial"/>
      <family val="2"/>
    </font>
    <font>
      <b/>
      <sz val="11"/>
      <color theme="1"/>
      <name val="Calibri"/>
      <family val="2"/>
      <scheme val="minor"/>
    </font>
    <font>
      <sz val="11"/>
      <color rgb="FFFF0000"/>
      <name val="Calibri"/>
      <family val="2"/>
      <scheme val="minor"/>
    </font>
    <font>
      <b/>
      <sz val="10"/>
      <color rgb="FFFF0000"/>
      <name val="Arial"/>
      <family val="2"/>
    </font>
    <font>
      <b/>
      <sz val="10"/>
      <color theme="1"/>
      <name val="Arial"/>
      <family val="2"/>
    </font>
    <font>
      <b/>
      <sz val="11"/>
      <name val="Calibri"/>
      <family val="2"/>
      <scheme val="minor"/>
    </font>
    <font>
      <b/>
      <sz val="11"/>
      <color rgb="FFFF0000"/>
      <name val="Calibri"/>
      <family val="2"/>
      <scheme val="minor"/>
    </font>
    <font>
      <sz val="10"/>
      <color rgb="FFFF0000"/>
      <name val="Arial"/>
      <family val="2"/>
    </font>
    <font>
      <b/>
      <sz val="11"/>
      <color theme="1"/>
      <name val="Calibri"/>
      <family val="2"/>
    </font>
    <font>
      <sz val="11"/>
      <name val="Calibri"/>
      <family val="2"/>
      <scheme val="minor"/>
    </font>
    <font>
      <b/>
      <sz val="18"/>
      <color rgb="FF00B050"/>
      <name val="Arial"/>
      <family val="2"/>
    </font>
    <font>
      <b/>
      <sz val="11"/>
      <color theme="0"/>
      <name val="Calibri"/>
      <family val="2"/>
      <scheme val="minor"/>
    </font>
    <font>
      <b/>
      <sz val="11"/>
      <color theme="0"/>
      <name val="Arial"/>
      <family val="2"/>
    </font>
    <font>
      <sz val="10"/>
      <color theme="0"/>
      <name val="Arial"/>
      <family val="2"/>
    </font>
    <font>
      <b/>
      <sz val="10"/>
      <color theme="0"/>
      <name val="Arial"/>
      <family val="2"/>
    </font>
    <font>
      <sz val="11"/>
      <color theme="0"/>
      <name val="Calibri"/>
      <family val="2"/>
      <scheme val="minor"/>
    </font>
  </fonts>
  <fills count="11">
    <fill>
      <patternFill patternType="none"/>
    </fill>
    <fill>
      <patternFill patternType="gray125"/>
    </fill>
    <fill>
      <patternFill patternType="solid">
        <fgColor indexed="9"/>
        <bgColor indexed="64"/>
      </patternFill>
    </fill>
    <fill>
      <patternFill patternType="solid">
        <fgColor rgb="FFF96FDB"/>
        <bgColor indexed="64"/>
      </patternFill>
    </fill>
    <fill>
      <patternFill patternType="solid">
        <fgColor rgb="FF00B0F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theme="0"/>
      </patternFill>
    </fill>
    <fill>
      <patternFill patternType="solid">
        <fgColor rgb="FFAD9244"/>
        <bgColor indexed="64"/>
      </patternFill>
    </fill>
    <fill>
      <patternFill patternType="solid">
        <fgColor rgb="FF3A6367"/>
        <bgColor indexed="64"/>
      </patternFill>
    </fill>
    <fill>
      <patternFill patternType="solid">
        <fgColor theme="4" tint="-0.249977111117893"/>
        <bgColor indexed="64"/>
      </patternFill>
    </fill>
  </fills>
  <borders count="47">
    <border>
      <left/>
      <right/>
      <top/>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5">
    <xf numFmtId="0" fontId="0" fillId="0" borderId="0"/>
    <xf numFmtId="167" fontId="3" fillId="0" borderId="0" applyFont="0" applyFill="0" applyBorder="0" applyAlignment="0" applyProtection="0"/>
    <xf numFmtId="167"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26" fillId="0" borderId="0" applyFont="0" applyFill="0" applyBorder="0" applyAlignment="0" applyProtection="0"/>
    <xf numFmtId="167" fontId="12" fillId="0" borderId="0" applyFont="0" applyFill="0" applyBorder="0" applyAlignment="0" applyProtection="0"/>
    <xf numFmtId="167" fontId="26" fillId="0" borderId="0" applyFont="0" applyFill="0" applyBorder="0" applyAlignment="0" applyProtection="0"/>
    <xf numFmtId="43" fontId="26" fillId="0" borderId="0" applyFont="0" applyFill="0" applyBorder="0" applyAlignment="0" applyProtection="0"/>
    <xf numFmtId="164" fontId="3" fillId="0" borderId="0" applyFont="0" applyFill="0" applyBorder="0" applyAlignment="0" applyProtection="0"/>
    <xf numFmtId="166" fontId="26"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 fillId="0" borderId="0"/>
    <xf numFmtId="0" fontId="9" fillId="0" borderId="0"/>
    <xf numFmtId="0" fontId="9" fillId="0" borderId="0"/>
    <xf numFmtId="0" fontId="3" fillId="0" borderId="0"/>
    <xf numFmtId="0" fontId="3" fillId="0" borderId="0"/>
    <xf numFmtId="0" fontId="11" fillId="0" borderId="0"/>
    <xf numFmtId="0" fontId="9" fillId="0" borderId="0"/>
    <xf numFmtId="0" fontId="27" fillId="0" borderId="0"/>
    <xf numFmtId="0" fontId="27" fillId="0" borderId="0"/>
    <xf numFmtId="0" fontId="3" fillId="0" borderId="0"/>
    <xf numFmtId="0" fontId="27" fillId="0" borderId="0"/>
    <xf numFmtId="0" fontId="27" fillId="0" borderId="0"/>
    <xf numFmtId="0" fontId="24" fillId="0" borderId="0"/>
    <xf numFmtId="0" fontId="3" fillId="0" borderId="0"/>
    <xf numFmtId="0" fontId="26" fillId="0" borderId="0"/>
    <xf numFmtId="0" fontId="27" fillId="0" borderId="0"/>
    <xf numFmtId="0" fontId="3" fillId="0" borderId="0"/>
    <xf numFmtId="0" fontId="3" fillId="0" borderId="0"/>
    <xf numFmtId="0" fontId="27" fillId="0" borderId="0"/>
    <xf numFmtId="0" fontId="27" fillId="0" borderId="0"/>
    <xf numFmtId="0" fontId="3" fillId="0" borderId="0"/>
    <xf numFmtId="0" fontId="27" fillId="0" borderId="0"/>
    <xf numFmtId="0" fontId="27" fillId="0" borderId="0"/>
    <xf numFmtId="0" fontId="26" fillId="0" borderId="0"/>
    <xf numFmtId="0" fontId="9" fillId="0" borderId="0"/>
    <xf numFmtId="0" fontId="9" fillId="0" borderId="0"/>
    <xf numFmtId="0" fontId="26" fillId="0" borderId="0"/>
    <xf numFmtId="0" fontId="3" fillId="0" borderId="0"/>
    <xf numFmtId="0" fontId="9" fillId="0" borderId="0"/>
    <xf numFmtId="0" fontId="9" fillId="0" borderId="0"/>
    <xf numFmtId="0" fontId="11" fillId="0" borderId="0"/>
    <xf numFmtId="0" fontId="9"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cellStyleXfs>
  <cellXfs count="313">
    <xf numFmtId="0" fontId="0" fillId="0" borderId="0" xfId="0"/>
    <xf numFmtId="0" fontId="3" fillId="0" borderId="0" xfId="0" applyFont="1" applyProtection="1">
      <protection hidden="1"/>
    </xf>
    <xf numFmtId="0" fontId="3" fillId="0" borderId="2" xfId="0" applyFont="1" applyBorder="1" applyProtection="1">
      <protection hidden="1"/>
    </xf>
    <xf numFmtId="0" fontId="2" fillId="0" borderId="1" xfId="0" applyFont="1" applyBorder="1" applyAlignment="1" applyProtection="1">
      <alignment horizontal="centerContinuous"/>
      <protection hidden="1"/>
    </xf>
    <xf numFmtId="0" fontId="2" fillId="0" borderId="1" xfId="0" applyFont="1" applyBorder="1" applyAlignment="1" applyProtection="1">
      <alignment horizontal="left"/>
      <protection hidden="1"/>
    </xf>
    <xf numFmtId="0" fontId="3" fillId="0" borderId="1" xfId="0" applyFont="1" applyBorder="1" applyAlignment="1" applyProtection="1">
      <alignment horizontal="centerContinuous"/>
      <protection hidden="1"/>
    </xf>
    <xf numFmtId="0" fontId="3" fillId="0" borderId="5" xfId="0" applyFont="1" applyBorder="1" applyProtection="1">
      <protection hidden="1"/>
    </xf>
    <xf numFmtId="165" fontId="3" fillId="0" borderId="0" xfId="0" applyNumberFormat="1" applyFont="1" applyProtection="1">
      <protection hidden="1"/>
    </xf>
    <xf numFmtId="0" fontId="6" fillId="0" borderId="6" xfId="0" applyFont="1" applyBorder="1" applyAlignment="1" applyProtection="1">
      <alignment horizontal="left"/>
      <protection hidden="1"/>
    </xf>
    <xf numFmtId="0" fontId="6" fillId="0" borderId="5" xfId="0" applyFont="1" applyBorder="1" applyAlignment="1" applyProtection="1">
      <alignment horizontal="left"/>
      <protection hidden="1"/>
    </xf>
    <xf numFmtId="0" fontId="7" fillId="0" borderId="5" xfId="0" applyFont="1" applyBorder="1" applyProtection="1">
      <protection hidden="1"/>
    </xf>
    <xf numFmtId="0" fontId="4" fillId="0" borderId="1" xfId="0" applyFont="1" applyBorder="1" applyProtection="1">
      <protection hidden="1"/>
    </xf>
    <xf numFmtId="0" fontId="3" fillId="0" borderId="3" xfId="0" applyFont="1" applyBorder="1" applyProtection="1">
      <protection hidden="1"/>
    </xf>
    <xf numFmtId="0" fontId="2" fillId="2" borderId="4" xfId="0" applyFont="1" applyFill="1" applyBorder="1" applyProtection="1">
      <protection hidden="1"/>
    </xf>
    <xf numFmtId="169" fontId="2" fillId="2" borderId="4" xfId="0" applyNumberFormat="1" applyFont="1" applyFill="1" applyBorder="1" applyAlignment="1" applyProtection="1">
      <alignment horizontal="right"/>
      <protection hidden="1"/>
    </xf>
    <xf numFmtId="167" fontId="2" fillId="2" borderId="7" xfId="0" applyNumberFormat="1" applyFont="1" applyFill="1" applyBorder="1" applyProtection="1">
      <protection hidden="1"/>
    </xf>
    <xf numFmtId="167" fontId="2" fillId="0" borderId="7" xfId="0" applyNumberFormat="1" applyFont="1" applyBorder="1" applyProtection="1">
      <protection hidden="1"/>
    </xf>
    <xf numFmtId="0" fontId="3" fillId="0" borderId="3" xfId="0" applyFont="1" applyBorder="1" applyAlignment="1" applyProtection="1">
      <alignment wrapText="1"/>
      <protection hidden="1"/>
    </xf>
    <xf numFmtId="1" fontId="2" fillId="2" borderId="10" xfId="0" applyNumberFormat="1" applyFont="1" applyFill="1" applyBorder="1" applyProtection="1">
      <protection hidden="1"/>
    </xf>
    <xf numFmtId="0" fontId="3" fillId="0" borderId="1" xfId="0" applyFont="1" applyBorder="1" applyAlignment="1" applyProtection="1">
      <alignment wrapText="1"/>
      <protection hidden="1"/>
    </xf>
    <xf numFmtId="0" fontId="4" fillId="0" borderId="1" xfId="0" applyFont="1" applyBorder="1" applyAlignment="1" applyProtection="1">
      <alignment wrapText="1"/>
      <protection hidden="1"/>
    </xf>
    <xf numFmtId="0" fontId="3" fillId="0" borderId="1" xfId="0" applyFont="1" applyBorder="1" applyAlignment="1" applyProtection="1">
      <alignment horizontal="center" wrapText="1"/>
      <protection hidden="1"/>
    </xf>
    <xf numFmtId="0" fontId="2" fillId="0" borderId="1" xfId="0" applyFont="1" applyBorder="1" applyAlignment="1" applyProtection="1">
      <alignment horizontal="center" wrapText="1"/>
      <protection hidden="1"/>
    </xf>
    <xf numFmtId="0" fontId="2" fillId="0" borderId="1" xfId="0" applyFont="1" applyBorder="1" applyAlignment="1" applyProtection="1">
      <alignment horizontal="left" wrapText="1"/>
      <protection hidden="1"/>
    </xf>
    <xf numFmtId="0" fontId="3" fillId="0" borderId="0" xfId="57"/>
    <xf numFmtId="0" fontId="6" fillId="0" borderId="0" xfId="57" applyFont="1"/>
    <xf numFmtId="0" fontId="3" fillId="0" borderId="0" xfId="25"/>
    <xf numFmtId="0" fontId="3" fillId="0" borderId="11" xfId="57" applyBorder="1" applyAlignment="1">
      <alignment horizontal="center" vertical="center" wrapText="1"/>
    </xf>
    <xf numFmtId="0" fontId="3" fillId="0" borderId="1" xfId="57" applyBorder="1" applyAlignment="1">
      <alignment horizontal="center" vertical="center" wrapText="1"/>
    </xf>
    <xf numFmtId="0" fontId="30" fillId="2" borderId="4" xfId="57" applyFont="1" applyFill="1" applyBorder="1" applyAlignment="1">
      <alignment horizontal="center" vertical="center"/>
    </xf>
    <xf numFmtId="0" fontId="31" fillId="2" borderId="4" xfId="57" applyFont="1" applyFill="1" applyBorder="1" applyAlignment="1">
      <alignment horizontal="center" vertical="center"/>
    </xf>
    <xf numFmtId="0" fontId="30" fillId="2" borderId="1" xfId="57" applyFont="1" applyFill="1" applyBorder="1" applyAlignment="1">
      <alignment horizontal="center" vertical="center"/>
    </xf>
    <xf numFmtId="0" fontId="2" fillId="2" borderId="4" xfId="57" applyFont="1" applyFill="1" applyBorder="1" applyAlignment="1">
      <alignment horizontal="center" vertical="center"/>
    </xf>
    <xf numFmtId="172" fontId="30" fillId="2" borderId="4" xfId="57" applyNumberFormat="1" applyFont="1" applyFill="1" applyBorder="1" applyAlignment="1">
      <alignment horizontal="center" vertical="center"/>
    </xf>
    <xf numFmtId="0" fontId="2" fillId="0" borderId="12" xfId="57" applyFont="1" applyBorder="1" applyAlignment="1">
      <alignment horizontal="center" vertical="center"/>
    </xf>
    <xf numFmtId="172" fontId="30" fillId="0" borderId="12" xfId="57" applyNumberFormat="1" applyFont="1" applyBorder="1" applyAlignment="1">
      <alignment horizontal="center" vertical="center"/>
    </xf>
    <xf numFmtId="0" fontId="30" fillId="0" borderId="12" xfId="57" applyFont="1" applyBorder="1" applyAlignment="1">
      <alignment horizontal="center" vertical="center"/>
    </xf>
    <xf numFmtId="170" fontId="2" fillId="0" borderId="11" xfId="57" applyNumberFormat="1" applyFont="1" applyBorder="1" applyAlignment="1">
      <alignment horizontal="center" vertical="center"/>
    </xf>
    <xf numFmtId="1" fontId="2" fillId="3" borderId="13" xfId="57" applyNumberFormat="1" applyFont="1" applyFill="1" applyBorder="1" applyAlignment="1">
      <alignment horizontal="center" vertical="center"/>
    </xf>
    <xf numFmtId="1" fontId="2" fillId="3" borderId="14" xfId="57" applyNumberFormat="1" applyFont="1" applyFill="1" applyBorder="1" applyAlignment="1">
      <alignment horizontal="center" vertical="center"/>
    </xf>
    <xf numFmtId="1" fontId="2" fillId="4" borderId="14" xfId="57" applyNumberFormat="1" applyFont="1" applyFill="1" applyBorder="1" applyAlignment="1">
      <alignment horizontal="center" vertical="center"/>
    </xf>
    <xf numFmtId="1" fontId="2" fillId="4" borderId="15" xfId="57" applyNumberFormat="1" applyFont="1" applyFill="1" applyBorder="1" applyAlignment="1">
      <alignment horizontal="center" vertical="center"/>
    </xf>
    <xf numFmtId="1" fontId="2" fillId="3" borderId="16" xfId="57" applyNumberFormat="1" applyFont="1" applyFill="1" applyBorder="1" applyAlignment="1">
      <alignment horizontal="center" vertical="center"/>
    </xf>
    <xf numFmtId="1" fontId="2" fillId="3" borderId="17" xfId="57" applyNumberFormat="1" applyFont="1" applyFill="1" applyBorder="1" applyAlignment="1">
      <alignment horizontal="center" vertical="center"/>
    </xf>
    <xf numFmtId="1" fontId="2" fillId="4" borderId="17" xfId="57" applyNumberFormat="1" applyFont="1" applyFill="1" applyBorder="1" applyAlignment="1">
      <alignment horizontal="center" vertical="center"/>
    </xf>
    <xf numFmtId="1" fontId="2" fillId="4" borderId="18" xfId="57" applyNumberFormat="1" applyFont="1" applyFill="1" applyBorder="1" applyAlignment="1">
      <alignment horizontal="center" vertical="center"/>
    </xf>
    <xf numFmtId="170" fontId="30" fillId="0" borderId="11" xfId="57" applyNumberFormat="1" applyFont="1" applyBorder="1" applyAlignment="1">
      <alignment horizontal="center" vertical="center"/>
    </xf>
    <xf numFmtId="1" fontId="2" fillId="3" borderId="19" xfId="57" applyNumberFormat="1" applyFont="1" applyFill="1" applyBorder="1" applyAlignment="1">
      <alignment horizontal="center" vertical="center"/>
    </xf>
    <xf numFmtId="1" fontId="2" fillId="3" borderId="20" xfId="57" applyNumberFormat="1" applyFont="1" applyFill="1" applyBorder="1" applyAlignment="1">
      <alignment horizontal="center" vertical="center"/>
    </xf>
    <xf numFmtId="1" fontId="2" fillId="4" borderId="20" xfId="57" applyNumberFormat="1" applyFont="1" applyFill="1" applyBorder="1" applyAlignment="1">
      <alignment horizontal="center" vertical="center"/>
    </xf>
    <xf numFmtId="1" fontId="2" fillId="4" borderId="21" xfId="57" applyNumberFormat="1" applyFont="1" applyFill="1" applyBorder="1" applyAlignment="1">
      <alignment horizontal="center" vertical="center"/>
    </xf>
    <xf numFmtId="0" fontId="10" fillId="0" borderId="0" xfId="57" applyFont="1" applyAlignment="1">
      <alignment horizontal="center" vertical="center" textRotation="90" wrapText="1"/>
    </xf>
    <xf numFmtId="170" fontId="10" fillId="0" borderId="0" xfId="57" applyNumberFormat="1" applyFont="1" applyAlignment="1">
      <alignment horizontal="center" vertical="center"/>
    </xf>
    <xf numFmtId="1" fontId="10" fillId="0" borderId="0" xfId="57" applyNumberFormat="1" applyFont="1" applyAlignment="1">
      <alignment horizontal="center" vertical="center"/>
    </xf>
    <xf numFmtId="171" fontId="2" fillId="0" borderId="12" xfId="57" applyNumberFormat="1" applyFont="1" applyBorder="1" applyAlignment="1">
      <alignment horizontal="center" vertical="center"/>
    </xf>
    <xf numFmtId="0" fontId="17" fillId="2" borderId="6" xfId="25" applyFont="1" applyFill="1" applyBorder="1" applyAlignment="1">
      <alignment vertical="center"/>
    </xf>
    <xf numFmtId="0" fontId="17" fillId="2" borderId="22" xfId="25" applyFont="1" applyFill="1" applyBorder="1" applyAlignment="1">
      <alignment vertical="center"/>
    </xf>
    <xf numFmtId="0" fontId="16" fillId="2" borderId="23" xfId="25" applyFont="1" applyFill="1" applyBorder="1" applyAlignment="1">
      <alignment vertical="center"/>
    </xf>
    <xf numFmtId="0" fontId="14" fillId="2" borderId="23" xfId="25" applyFont="1" applyFill="1" applyBorder="1" applyAlignment="1">
      <alignment vertical="center"/>
    </xf>
    <xf numFmtId="0" fontId="3" fillId="2" borderId="8" xfId="25" applyFill="1" applyBorder="1" applyProtection="1">
      <protection hidden="1"/>
    </xf>
    <xf numFmtId="0" fontId="3" fillId="2" borderId="9" xfId="25" applyFill="1" applyBorder="1" applyProtection="1">
      <protection hidden="1"/>
    </xf>
    <xf numFmtId="0" fontId="15" fillId="2" borderId="22" xfId="25" applyFont="1" applyFill="1" applyBorder="1" applyAlignment="1">
      <alignment vertical="center"/>
    </xf>
    <xf numFmtId="0" fontId="3" fillId="2" borderId="0" xfId="25" applyFill="1" applyProtection="1">
      <protection hidden="1"/>
    </xf>
    <xf numFmtId="0" fontId="3" fillId="2" borderId="24" xfId="25" applyFill="1" applyBorder="1" applyProtection="1">
      <protection hidden="1"/>
    </xf>
    <xf numFmtId="0" fontId="15" fillId="2" borderId="6" xfId="25" applyFont="1" applyFill="1" applyBorder="1" applyAlignment="1">
      <alignment vertical="center"/>
    </xf>
    <xf numFmtId="0" fontId="3" fillId="2" borderId="5" xfId="25" applyFill="1" applyBorder="1" applyProtection="1">
      <protection hidden="1"/>
    </xf>
    <xf numFmtId="0" fontId="3" fillId="2" borderId="2" xfId="25" applyFill="1" applyBorder="1" applyProtection="1">
      <protection hidden="1"/>
    </xf>
    <xf numFmtId="0" fontId="2" fillId="0" borderId="11" xfId="25" applyFont="1" applyBorder="1" applyAlignment="1" applyProtection="1">
      <alignment horizontal="left"/>
      <protection hidden="1"/>
    </xf>
    <xf numFmtId="0" fontId="2" fillId="0" borderId="1" xfId="25" applyFont="1" applyBorder="1" applyAlignment="1" applyProtection="1">
      <alignment horizontal="left"/>
      <protection hidden="1"/>
    </xf>
    <xf numFmtId="0" fontId="2" fillId="0" borderId="25" xfId="25" applyFont="1" applyBorder="1" applyAlignment="1" applyProtection="1">
      <alignment horizontal="left"/>
      <protection hidden="1"/>
    </xf>
    <xf numFmtId="0" fontId="2" fillId="0" borderId="22" xfId="25" applyFont="1" applyBorder="1" applyAlignment="1" applyProtection="1">
      <alignment horizontal="left"/>
      <protection hidden="1"/>
    </xf>
    <xf numFmtId="0" fontId="2" fillId="0" borderId="0" xfId="25" applyFont="1" applyAlignment="1" applyProtection="1">
      <alignment horizontal="left"/>
      <protection hidden="1"/>
    </xf>
    <xf numFmtId="0" fontId="2" fillId="0" borderId="26" xfId="25" applyFont="1" applyBorder="1" applyAlignment="1" applyProtection="1">
      <alignment horizontal="left"/>
      <protection hidden="1"/>
    </xf>
    <xf numFmtId="0" fontId="2" fillId="0" borderId="27" xfId="25" applyFont="1" applyBorder="1" applyAlignment="1" applyProtection="1">
      <alignment horizontal="left"/>
      <protection hidden="1"/>
    </xf>
    <xf numFmtId="0" fontId="2" fillId="0" borderId="28" xfId="25" applyFont="1" applyBorder="1" applyAlignment="1" applyProtection="1">
      <alignment horizontal="left"/>
      <protection hidden="1"/>
    </xf>
    <xf numFmtId="0" fontId="2" fillId="2" borderId="22" xfId="25" applyFont="1" applyFill="1" applyBorder="1" applyAlignment="1" applyProtection="1">
      <alignment horizontal="left"/>
      <protection hidden="1"/>
    </xf>
    <xf numFmtId="0" fontId="2" fillId="2" borderId="0" xfId="25" applyFont="1" applyFill="1" applyAlignment="1" applyProtection="1">
      <alignment horizontal="left"/>
      <protection hidden="1"/>
    </xf>
    <xf numFmtId="0" fontId="29" fillId="0" borderId="0" xfId="39" applyFont="1"/>
    <xf numFmtId="167" fontId="29" fillId="0" borderId="0" xfId="39" applyNumberFormat="1" applyFont="1"/>
    <xf numFmtId="0" fontId="6" fillId="0" borderId="6" xfId="25" applyFont="1" applyBorder="1" applyAlignment="1" applyProtection="1">
      <alignment horizontal="left"/>
      <protection hidden="1"/>
    </xf>
    <xf numFmtId="0" fontId="4" fillId="0" borderId="1" xfId="25" applyFont="1" applyBorder="1" applyProtection="1">
      <protection hidden="1"/>
    </xf>
    <xf numFmtId="0" fontId="2" fillId="0" borderId="1" xfId="25" applyFont="1" applyBorder="1" applyAlignment="1" applyProtection="1">
      <alignment horizontal="centerContinuous"/>
      <protection hidden="1"/>
    </xf>
    <xf numFmtId="0" fontId="34" fillId="5" borderId="0" xfId="0" applyFont="1" applyFill="1"/>
    <xf numFmtId="0" fontId="32" fillId="6" borderId="5" xfId="0" applyFont="1" applyFill="1" applyBorder="1" applyAlignment="1">
      <alignment horizontal="center" wrapText="1"/>
    </xf>
    <xf numFmtId="0" fontId="32" fillId="6" borderId="29" xfId="0" applyFont="1" applyFill="1" applyBorder="1"/>
    <xf numFmtId="0" fontId="34" fillId="6" borderId="0" xfId="0" applyFont="1" applyFill="1" applyAlignment="1">
      <alignment vertical="center" wrapText="1"/>
    </xf>
    <xf numFmtId="167" fontId="3" fillId="6" borderId="0" xfId="0" applyNumberFormat="1" applyFont="1" applyFill="1"/>
    <xf numFmtId="0" fontId="3" fillId="0" borderId="0" xfId="25" applyProtection="1">
      <protection hidden="1"/>
    </xf>
    <xf numFmtId="0" fontId="3" fillId="0" borderId="5" xfId="25" applyBorder="1" applyProtection="1">
      <protection hidden="1"/>
    </xf>
    <xf numFmtId="0" fontId="6" fillId="0" borderId="5" xfId="25" applyFont="1" applyBorder="1" applyAlignment="1" applyProtection="1">
      <alignment horizontal="left"/>
      <protection hidden="1"/>
    </xf>
    <xf numFmtId="172" fontId="32" fillId="5" borderId="31" xfId="0" applyNumberFormat="1" applyFont="1" applyFill="1" applyBorder="1"/>
    <xf numFmtId="0" fontId="3" fillId="6" borderId="29" xfId="0" applyFont="1" applyFill="1" applyBorder="1"/>
    <xf numFmtId="0" fontId="3" fillId="0" borderId="2" xfId="25" applyBorder="1" applyProtection="1">
      <protection hidden="1"/>
    </xf>
    <xf numFmtId="0" fontId="35" fillId="5" borderId="32" xfId="0" applyFont="1" applyFill="1" applyBorder="1"/>
    <xf numFmtId="174" fontId="36" fillId="5" borderId="0" xfId="16" applyNumberFormat="1" applyFont="1" applyFill="1" applyBorder="1" applyAlignment="1">
      <alignment wrapText="1"/>
    </xf>
    <xf numFmtId="0" fontId="34" fillId="0" borderId="0" xfId="0" applyFont="1" applyProtection="1">
      <protection hidden="1"/>
    </xf>
    <xf numFmtId="165" fontId="30" fillId="0" borderId="0" xfId="0" applyNumberFormat="1" applyFont="1" applyProtection="1">
      <protection hidden="1"/>
    </xf>
    <xf numFmtId="0" fontId="28" fillId="5" borderId="29" xfId="0" applyFont="1" applyFill="1" applyBorder="1"/>
    <xf numFmtId="0" fontId="0" fillId="5" borderId="30" xfId="0" applyFill="1" applyBorder="1"/>
    <xf numFmtId="167" fontId="36" fillId="5" borderId="29" xfId="16" applyFont="1" applyFill="1" applyBorder="1" applyAlignment="1"/>
    <xf numFmtId="167" fontId="32" fillId="5" borderId="29" xfId="16" applyFont="1" applyFill="1" applyBorder="1" applyAlignment="1"/>
    <xf numFmtId="174" fontId="36" fillId="5" borderId="0" xfId="16" applyNumberFormat="1" applyFont="1" applyFill="1" applyBorder="1" applyAlignment="1"/>
    <xf numFmtId="2" fontId="3" fillId="6" borderId="35" xfId="0" applyNumberFormat="1" applyFont="1" applyFill="1" applyBorder="1"/>
    <xf numFmtId="0" fontId="7" fillId="0" borderId="5" xfId="25" applyFont="1" applyBorder="1" applyProtection="1">
      <protection hidden="1"/>
    </xf>
    <xf numFmtId="174" fontId="3" fillId="6" borderId="0" xfId="0" applyNumberFormat="1" applyFont="1" applyFill="1"/>
    <xf numFmtId="2" fontId="3" fillId="6" borderId="34" xfId="0" applyNumberFormat="1" applyFont="1" applyFill="1" applyBorder="1"/>
    <xf numFmtId="167" fontId="2" fillId="0" borderId="36" xfId="66" applyNumberFormat="1" applyFont="1" applyBorder="1" applyProtection="1">
      <protection hidden="1"/>
    </xf>
    <xf numFmtId="167" fontId="2" fillId="0" borderId="37" xfId="66" applyNumberFormat="1" applyFont="1" applyBorder="1" applyProtection="1">
      <protection hidden="1"/>
    </xf>
    <xf numFmtId="167" fontId="2" fillId="0" borderId="36" xfId="65" applyNumberFormat="1" applyFont="1" applyBorder="1" applyProtection="1">
      <protection hidden="1"/>
    </xf>
    <xf numFmtId="167" fontId="2" fillId="0" borderId="37" xfId="65" applyNumberFormat="1" applyFont="1" applyBorder="1" applyProtection="1">
      <protection hidden="1"/>
    </xf>
    <xf numFmtId="169" fontId="2" fillId="2" borderId="4" xfId="25" applyNumberFormat="1" applyFont="1" applyFill="1" applyBorder="1" applyAlignment="1" applyProtection="1">
      <alignment horizontal="right"/>
      <protection hidden="1"/>
    </xf>
    <xf numFmtId="167" fontId="2" fillId="0" borderId="36" xfId="25" applyNumberFormat="1" applyFont="1" applyBorder="1" applyProtection="1">
      <protection hidden="1"/>
    </xf>
    <xf numFmtId="167" fontId="2" fillId="0" borderId="37" xfId="25" applyNumberFormat="1" applyFont="1" applyBorder="1" applyProtection="1">
      <protection hidden="1"/>
    </xf>
    <xf numFmtId="167" fontId="2" fillId="2" borderId="7" xfId="25" applyNumberFormat="1" applyFont="1" applyFill="1" applyBorder="1" applyProtection="1">
      <protection hidden="1"/>
    </xf>
    <xf numFmtId="167" fontId="2" fillId="0" borderId="7" xfId="25" applyNumberFormat="1" applyFont="1" applyBorder="1" applyProtection="1">
      <protection hidden="1"/>
    </xf>
    <xf numFmtId="175" fontId="2" fillId="2" borderId="4" xfId="25" applyNumberFormat="1" applyFont="1" applyFill="1" applyBorder="1" applyProtection="1">
      <protection hidden="1"/>
    </xf>
    <xf numFmtId="0" fontId="3" fillId="0" borderId="3" xfId="25" applyBorder="1" applyAlignment="1" applyProtection="1">
      <alignment horizontal="centerContinuous"/>
      <protection hidden="1"/>
    </xf>
    <xf numFmtId="0" fontId="2" fillId="0" borderId="16" xfId="25" applyFont="1" applyBorder="1" applyAlignment="1" applyProtection="1">
      <alignment horizontal="left"/>
      <protection locked="0"/>
    </xf>
    <xf numFmtId="0" fontId="2" fillId="0" borderId="17" xfId="25" applyFont="1" applyBorder="1" applyAlignment="1" applyProtection="1">
      <alignment horizontal="left"/>
      <protection hidden="1"/>
    </xf>
    <xf numFmtId="167" fontId="2" fillId="0" borderId="17" xfId="25" applyNumberFormat="1" applyFont="1" applyBorder="1" applyProtection="1">
      <protection hidden="1"/>
    </xf>
    <xf numFmtId="10" fontId="4" fillId="0" borderId="17" xfId="25" applyNumberFormat="1" applyFont="1" applyBorder="1" applyAlignment="1" applyProtection="1">
      <alignment horizontal="center"/>
      <protection locked="0"/>
    </xf>
    <xf numFmtId="0" fontId="2" fillId="0" borderId="38" xfId="25" applyFont="1" applyBorder="1" applyAlignment="1" applyProtection="1">
      <alignment horizontal="left"/>
      <protection locked="0"/>
    </xf>
    <xf numFmtId="0" fontId="2" fillId="0" borderId="39" xfId="25" applyFont="1" applyBorder="1" applyAlignment="1" applyProtection="1">
      <alignment horizontal="left"/>
      <protection hidden="1"/>
    </xf>
    <xf numFmtId="167" fontId="2" fillId="0" borderId="39" xfId="25" applyNumberFormat="1" applyFont="1" applyBorder="1" applyProtection="1">
      <protection hidden="1"/>
    </xf>
    <xf numFmtId="10" fontId="4" fillId="0" borderId="39" xfId="25" applyNumberFormat="1" applyFont="1" applyBorder="1" applyAlignment="1" applyProtection="1">
      <alignment horizontal="center"/>
      <protection locked="0"/>
    </xf>
    <xf numFmtId="0" fontId="34" fillId="6" borderId="31" xfId="0" applyFont="1" applyFill="1" applyBorder="1"/>
    <xf numFmtId="0" fontId="34" fillId="6" borderId="0" xfId="0" applyFont="1" applyFill="1"/>
    <xf numFmtId="0" fontId="34" fillId="0" borderId="0" xfId="0" applyFont="1"/>
    <xf numFmtId="0" fontId="32" fillId="7" borderId="29" xfId="0" applyFont="1" applyFill="1" applyBorder="1"/>
    <xf numFmtId="0" fontId="3" fillId="6" borderId="0" xfId="0" applyFont="1" applyFill="1"/>
    <xf numFmtId="167" fontId="3" fillId="7" borderId="0" xfId="0" applyNumberFormat="1" applyFont="1" applyFill="1"/>
    <xf numFmtId="174" fontId="3" fillId="7" borderId="0" xfId="0" applyNumberFormat="1" applyFont="1" applyFill="1"/>
    <xf numFmtId="172" fontId="32" fillId="5" borderId="26" xfId="0" applyNumberFormat="1" applyFont="1" applyFill="1" applyBorder="1"/>
    <xf numFmtId="0" fontId="32" fillId="5" borderId="40" xfId="0" applyFont="1" applyFill="1" applyBorder="1"/>
    <xf numFmtId="0" fontId="32" fillId="5" borderId="29" xfId="0" applyFont="1" applyFill="1" applyBorder="1"/>
    <xf numFmtId="0" fontId="3" fillId="0" borderId="0" xfId="0" applyFont="1"/>
    <xf numFmtId="0" fontId="34" fillId="0" borderId="0" xfId="25" applyFont="1" applyProtection="1">
      <protection hidden="1"/>
    </xf>
    <xf numFmtId="165" fontId="30" fillId="0" borderId="0" xfId="25" applyNumberFormat="1" applyFont="1" applyProtection="1">
      <protection hidden="1"/>
    </xf>
    <xf numFmtId="0" fontId="3" fillId="6" borderId="30" xfId="0" applyFont="1" applyFill="1" applyBorder="1"/>
    <xf numFmtId="0" fontId="32" fillId="6" borderId="32" xfId="0" applyFont="1" applyFill="1" applyBorder="1"/>
    <xf numFmtId="167" fontId="32" fillId="7" borderId="29" xfId="16" applyFont="1" applyFill="1" applyBorder="1" applyAlignment="1"/>
    <xf numFmtId="167" fontId="36" fillId="6" borderId="29" xfId="16" applyFont="1" applyFill="1" applyBorder="1" applyAlignment="1">
      <alignment horizontal="left"/>
    </xf>
    <xf numFmtId="0" fontId="3" fillId="5" borderId="0" xfId="57" applyFill="1"/>
    <xf numFmtId="0" fontId="6" fillId="5" borderId="0" xfId="57" applyFont="1" applyFill="1"/>
    <xf numFmtId="0" fontId="3" fillId="5" borderId="0" xfId="25" applyFill="1"/>
    <xf numFmtId="170" fontId="3" fillId="5" borderId="0" xfId="25" applyNumberFormat="1" applyFill="1" applyAlignment="1">
      <alignment horizontal="center"/>
    </xf>
    <xf numFmtId="172" fontId="33" fillId="5" borderId="0" xfId="25" applyNumberFormat="1" applyFont="1" applyFill="1" applyAlignment="1" applyProtection="1">
      <alignment horizontal="center"/>
      <protection locked="0"/>
    </xf>
    <xf numFmtId="0" fontId="37" fillId="5" borderId="0" xfId="57" applyFont="1" applyFill="1"/>
    <xf numFmtId="15" fontId="3" fillId="5" borderId="0" xfId="25" applyNumberFormat="1" applyFill="1"/>
    <xf numFmtId="0" fontId="3" fillId="5" borderId="0" xfId="57" applyFill="1" applyProtection="1">
      <protection locked="0"/>
    </xf>
    <xf numFmtId="14" fontId="2" fillId="5" borderId="0" xfId="57" applyNumberFormat="1" applyFont="1" applyFill="1"/>
    <xf numFmtId="167" fontId="3" fillId="5" borderId="0" xfId="57" applyNumberFormat="1" applyFill="1" applyAlignment="1">
      <alignment horizontal="center"/>
    </xf>
    <xf numFmtId="167" fontId="2" fillId="5" borderId="0" xfId="57" applyNumberFormat="1" applyFont="1" applyFill="1" applyAlignment="1">
      <alignment horizontal="center"/>
    </xf>
    <xf numFmtId="0" fontId="2" fillId="5" borderId="0" xfId="57" applyFont="1" applyFill="1" applyAlignment="1">
      <alignment horizontal="left" vertical="center" wrapText="1"/>
    </xf>
    <xf numFmtId="167" fontId="3" fillId="5" borderId="0" xfId="57" applyNumberFormat="1" applyFill="1" applyAlignment="1">
      <alignment horizontal="center" vertical="center"/>
    </xf>
    <xf numFmtId="0" fontId="2" fillId="5" borderId="0" xfId="57" applyFont="1" applyFill="1" applyAlignment="1">
      <alignment horizontal="center" vertical="center"/>
    </xf>
    <xf numFmtId="0" fontId="3" fillId="5" borderId="0" xfId="57" applyFill="1" applyAlignment="1">
      <alignment horizontal="center" vertical="center"/>
    </xf>
    <xf numFmtId="2" fontId="3" fillId="5" borderId="0" xfId="57" applyNumberFormat="1" applyFill="1" applyAlignment="1">
      <alignment horizontal="center" vertical="center"/>
    </xf>
    <xf numFmtId="167" fontId="3" fillId="5" borderId="0" xfId="57" applyNumberFormat="1" applyFill="1" applyAlignment="1">
      <alignment horizontal="center" vertical="center" wrapText="1"/>
    </xf>
    <xf numFmtId="0" fontId="3" fillId="5" borderId="0" xfId="57" applyFill="1" applyAlignment="1">
      <alignment horizontal="left" vertical="center"/>
    </xf>
    <xf numFmtId="0" fontId="2" fillId="5" borderId="0" xfId="57" applyFont="1" applyFill="1" applyAlignment="1">
      <alignment horizontal="left" vertical="center"/>
    </xf>
    <xf numFmtId="0" fontId="3" fillId="5" borderId="0" xfId="57" applyFill="1" applyAlignment="1">
      <alignment horizontal="left" vertical="center" wrapText="1"/>
    </xf>
    <xf numFmtId="167" fontId="3" fillId="5" borderId="0" xfId="57" applyNumberFormat="1" applyFill="1"/>
    <xf numFmtId="0" fontId="28" fillId="5" borderId="31" xfId="25" applyFont="1" applyFill="1" applyBorder="1"/>
    <xf numFmtId="0" fontId="28" fillId="5" borderId="31" xfId="25" applyFont="1" applyFill="1" applyBorder="1" applyAlignment="1">
      <alignment horizontal="center"/>
    </xf>
    <xf numFmtId="167" fontId="3" fillId="5" borderId="0" xfId="57" applyNumberFormat="1" applyFill="1" applyAlignment="1">
      <alignment horizontal="right"/>
    </xf>
    <xf numFmtId="167" fontId="30" fillId="5" borderId="0" xfId="57" applyNumberFormat="1" applyFont="1" applyFill="1" applyAlignment="1" applyProtection="1">
      <alignment horizontal="right"/>
      <protection locked="0"/>
    </xf>
    <xf numFmtId="173" fontId="3" fillId="5" borderId="0" xfId="57" applyNumberFormat="1" applyFill="1" applyAlignment="1">
      <alignment horizontal="right"/>
    </xf>
    <xf numFmtId="0" fontId="3" fillId="5" borderId="0" xfId="57" applyFill="1" applyAlignment="1">
      <alignment horizontal="right"/>
    </xf>
    <xf numFmtId="0" fontId="0" fillId="5" borderId="0" xfId="0" applyFill="1"/>
    <xf numFmtId="0" fontId="3" fillId="5" borderId="0" xfId="0" applyFont="1" applyFill="1"/>
    <xf numFmtId="173" fontId="2" fillId="5" borderId="26" xfId="57" applyNumberFormat="1" applyFont="1" applyFill="1" applyBorder="1" applyAlignment="1">
      <alignment horizontal="right"/>
    </xf>
    <xf numFmtId="172" fontId="22" fillId="2" borderId="44" xfId="0" applyNumberFormat="1" applyFont="1" applyFill="1" applyBorder="1"/>
    <xf numFmtId="172" fontId="22" fillId="2" borderId="10" xfId="0" applyNumberFormat="1" applyFont="1" applyFill="1" applyBorder="1"/>
    <xf numFmtId="0" fontId="2" fillId="8" borderId="8" xfId="0" applyFont="1" applyFill="1" applyBorder="1" applyAlignment="1" applyProtection="1">
      <alignment horizontal="left"/>
      <protection hidden="1"/>
    </xf>
    <xf numFmtId="0" fontId="3" fillId="8" borderId="8" xfId="0" applyFont="1" applyFill="1" applyBorder="1" applyProtection="1">
      <protection hidden="1"/>
    </xf>
    <xf numFmtId="0" fontId="3" fillId="8" borderId="9" xfId="0" applyFont="1" applyFill="1" applyBorder="1" applyProtection="1">
      <protection hidden="1"/>
    </xf>
    <xf numFmtId="0" fontId="2" fillId="8" borderId="11" xfId="25" applyFont="1" applyFill="1" applyBorder="1" applyAlignment="1" applyProtection="1">
      <alignment horizontal="left"/>
      <protection hidden="1"/>
    </xf>
    <xf numFmtId="0" fontId="2" fillId="8" borderId="1" xfId="25" applyFont="1" applyFill="1" applyBorder="1" applyAlignment="1" applyProtection="1">
      <alignment horizontal="left"/>
      <protection hidden="1"/>
    </xf>
    <xf numFmtId="168" fontId="2" fillId="8" borderId="3" xfId="25" applyNumberFormat="1" applyFont="1" applyFill="1" applyBorder="1" applyAlignment="1" applyProtection="1">
      <alignment horizontal="left"/>
      <protection hidden="1"/>
    </xf>
    <xf numFmtId="169" fontId="2" fillId="8" borderId="4" xfId="0" applyNumberFormat="1" applyFont="1" applyFill="1" applyBorder="1" applyAlignment="1" applyProtection="1">
      <alignment horizontal="right"/>
      <protection hidden="1"/>
    </xf>
    <xf numFmtId="167" fontId="2" fillId="8" borderId="4" xfId="0" applyNumberFormat="1" applyFont="1" applyFill="1" applyBorder="1" applyProtection="1">
      <protection hidden="1"/>
    </xf>
    <xf numFmtId="0" fontId="2" fillId="9" borderId="1" xfId="0" applyFont="1" applyFill="1" applyBorder="1" applyProtection="1">
      <protection hidden="1"/>
    </xf>
    <xf numFmtId="0" fontId="2" fillId="9" borderId="3" xfId="0" applyFont="1" applyFill="1" applyBorder="1" applyProtection="1">
      <protection hidden="1"/>
    </xf>
    <xf numFmtId="0" fontId="3" fillId="9" borderId="4" xfId="0" applyFont="1" applyFill="1" applyBorder="1" applyProtection="1">
      <protection hidden="1"/>
    </xf>
    <xf numFmtId="167" fontId="31" fillId="8" borderId="8" xfId="0" applyNumberFormat="1" applyFont="1" applyFill="1" applyBorder="1" applyProtection="1">
      <protection hidden="1"/>
    </xf>
    <xf numFmtId="0" fontId="2" fillId="8" borderId="1" xfId="0" applyFont="1" applyFill="1" applyBorder="1" applyAlignment="1" applyProtection="1">
      <alignment horizontal="left"/>
      <protection hidden="1"/>
    </xf>
    <xf numFmtId="0" fontId="3" fillId="8" borderId="1" xfId="0" applyFont="1" applyFill="1" applyBorder="1" applyProtection="1">
      <protection hidden="1"/>
    </xf>
    <xf numFmtId="0" fontId="3" fillId="8" borderId="3" xfId="0" applyFont="1" applyFill="1" applyBorder="1" applyProtection="1">
      <protection hidden="1"/>
    </xf>
    <xf numFmtId="0" fontId="3" fillId="9" borderId="4" xfId="25" applyFill="1" applyBorder="1" applyProtection="1">
      <protection hidden="1"/>
    </xf>
    <xf numFmtId="167" fontId="2" fillId="9" borderId="4" xfId="25" applyNumberFormat="1" applyFont="1" applyFill="1" applyBorder="1" applyProtection="1">
      <protection hidden="1"/>
    </xf>
    <xf numFmtId="0" fontId="2" fillId="8" borderId="3" xfId="25" applyFont="1" applyFill="1" applyBorder="1" applyAlignment="1" applyProtection="1">
      <alignment horizontal="left" vertical="center"/>
      <protection hidden="1"/>
    </xf>
    <xf numFmtId="0" fontId="3" fillId="8" borderId="3" xfId="25" applyFill="1" applyBorder="1" applyProtection="1">
      <protection hidden="1"/>
    </xf>
    <xf numFmtId="0" fontId="2" fillId="8" borderId="3" xfId="25" applyFont="1" applyFill="1" applyBorder="1" applyAlignment="1" applyProtection="1">
      <alignment vertical="center" wrapText="1"/>
      <protection hidden="1"/>
    </xf>
    <xf numFmtId="0" fontId="3" fillId="8" borderId="3" xfId="25" applyFill="1" applyBorder="1" applyAlignment="1" applyProtection="1">
      <alignment vertical="center"/>
      <protection hidden="1"/>
    </xf>
    <xf numFmtId="167" fontId="2" fillId="8" borderId="1" xfId="25" applyNumberFormat="1" applyFont="1" applyFill="1" applyBorder="1" applyProtection="1">
      <protection hidden="1"/>
    </xf>
    <xf numFmtId="167" fontId="2" fillId="8" borderId="4" xfId="25" applyNumberFormat="1" applyFont="1" applyFill="1" applyBorder="1" applyAlignment="1" applyProtection="1">
      <alignment horizontal="right"/>
      <protection hidden="1"/>
    </xf>
    <xf numFmtId="167" fontId="2" fillId="8" borderId="4" xfId="25" applyNumberFormat="1" applyFont="1" applyFill="1" applyBorder="1" applyProtection="1">
      <protection hidden="1"/>
    </xf>
    <xf numFmtId="167" fontId="30" fillId="8" borderId="4" xfId="25" applyNumberFormat="1" applyFont="1" applyFill="1" applyBorder="1" applyProtection="1">
      <protection hidden="1"/>
    </xf>
    <xf numFmtId="167" fontId="32" fillId="8" borderId="29" xfId="16" applyFont="1" applyFill="1" applyBorder="1" applyAlignment="1"/>
    <xf numFmtId="0" fontId="28" fillId="8" borderId="0" xfId="0" applyFont="1" applyFill="1"/>
    <xf numFmtId="0" fontId="32" fillId="8" borderId="0" xfId="0" applyFont="1" applyFill="1"/>
    <xf numFmtId="0" fontId="32" fillId="8" borderId="29" xfId="0" applyFont="1" applyFill="1" applyBorder="1"/>
    <xf numFmtId="174" fontId="0" fillId="0" borderId="0" xfId="0" applyNumberFormat="1"/>
    <xf numFmtId="176" fontId="0" fillId="0" borderId="0" xfId="0" applyNumberFormat="1"/>
    <xf numFmtId="9" fontId="0" fillId="0" borderId="0" xfId="0" applyNumberFormat="1"/>
    <xf numFmtId="0" fontId="38" fillId="9" borderId="33" xfId="0" applyFont="1" applyFill="1" applyBorder="1"/>
    <xf numFmtId="0" fontId="38" fillId="9" borderId="26" xfId="39" applyFont="1" applyFill="1" applyBorder="1" applyAlignment="1">
      <alignment horizontal="center" wrapText="1"/>
    </xf>
    <xf numFmtId="167" fontId="41" fillId="9" borderId="4" xfId="0" applyNumberFormat="1" applyFont="1" applyFill="1" applyBorder="1" applyProtection="1">
      <protection hidden="1"/>
    </xf>
    <xf numFmtId="0" fontId="41" fillId="9" borderId="11" xfId="25" applyFont="1" applyFill="1" applyBorder="1" applyAlignment="1" applyProtection="1">
      <alignment horizontal="left"/>
      <protection hidden="1"/>
    </xf>
    <xf numFmtId="0" fontId="41" fillId="9" borderId="1" xfId="25" applyFont="1" applyFill="1" applyBorder="1" applyAlignment="1" applyProtection="1">
      <alignment horizontal="left"/>
      <protection hidden="1"/>
    </xf>
    <xf numFmtId="0" fontId="40" fillId="9" borderId="3" xfId="25" applyFont="1" applyFill="1" applyBorder="1" applyProtection="1">
      <protection hidden="1"/>
    </xf>
    <xf numFmtId="0" fontId="1" fillId="5" borderId="0" xfId="0" applyFont="1" applyFill="1"/>
    <xf numFmtId="167" fontId="41" fillId="9" borderId="4" xfId="25" applyNumberFormat="1" applyFont="1" applyFill="1" applyBorder="1" applyProtection="1">
      <protection hidden="1"/>
    </xf>
    <xf numFmtId="0" fontId="40" fillId="5" borderId="30" xfId="0" applyFont="1" applyFill="1" applyBorder="1"/>
    <xf numFmtId="0" fontId="40" fillId="5" borderId="0" xfId="0" applyFont="1" applyFill="1"/>
    <xf numFmtId="177" fontId="36" fillId="5" borderId="0" xfId="0" applyNumberFormat="1" applyFont="1" applyFill="1" applyAlignment="1">
      <alignment horizontal="center"/>
    </xf>
    <xf numFmtId="177" fontId="36" fillId="5" borderId="34" xfId="0" applyNumberFormat="1" applyFont="1" applyFill="1" applyBorder="1" applyAlignment="1">
      <alignment horizontal="center"/>
    </xf>
    <xf numFmtId="177" fontId="32" fillId="5" borderId="0" xfId="16" applyNumberFormat="1" applyFont="1" applyFill="1" applyBorder="1" applyAlignment="1">
      <alignment horizontal="center" vertical="center" wrapText="1"/>
    </xf>
    <xf numFmtId="177" fontId="33" fillId="5" borderId="0" xfId="16" applyNumberFormat="1" applyFont="1" applyFill="1" applyBorder="1" applyAlignment="1">
      <alignment horizontal="center" vertical="center" wrapText="1"/>
    </xf>
    <xf numFmtId="177" fontId="33" fillId="8" borderId="0" xfId="16" applyNumberFormat="1" applyFont="1" applyFill="1" applyBorder="1" applyAlignment="1">
      <alignment horizontal="center" vertical="center" wrapText="1"/>
    </xf>
    <xf numFmtId="177" fontId="36" fillId="5" borderId="0" xfId="16" applyNumberFormat="1" applyFont="1" applyFill="1" applyBorder="1" applyAlignment="1">
      <alignment horizontal="center"/>
    </xf>
    <xf numFmtId="177" fontId="32" fillId="8" borderId="0" xfId="16" applyNumberFormat="1" applyFont="1" applyFill="1" applyBorder="1" applyAlignment="1">
      <alignment horizontal="center"/>
    </xf>
    <xf numFmtId="177" fontId="32" fillId="5" borderId="34" xfId="16" applyNumberFormat="1" applyFont="1" applyFill="1" applyBorder="1" applyAlignment="1">
      <alignment horizontal="center"/>
    </xf>
    <xf numFmtId="177" fontId="32" fillId="5" borderId="0" xfId="16" applyNumberFormat="1" applyFont="1" applyFill="1" applyBorder="1" applyAlignment="1">
      <alignment horizontal="center"/>
    </xf>
    <xf numFmtId="177" fontId="32" fillId="8" borderId="41" xfId="16" applyNumberFormat="1" applyFont="1" applyFill="1" applyBorder="1" applyAlignment="1">
      <alignment horizontal="center"/>
    </xf>
    <xf numFmtId="177" fontId="22" fillId="2" borderId="44" xfId="0" applyNumberFormat="1" applyFont="1" applyFill="1" applyBorder="1" applyAlignment="1">
      <alignment horizontal="center"/>
    </xf>
    <xf numFmtId="177" fontId="22" fillId="2" borderId="10" xfId="0" applyNumberFormat="1" applyFont="1" applyFill="1" applyBorder="1" applyAlignment="1">
      <alignment horizontal="center"/>
    </xf>
    <xf numFmtId="167" fontId="2" fillId="8" borderId="1" xfId="0" applyNumberFormat="1" applyFont="1" applyFill="1" applyBorder="1" applyProtection="1">
      <protection hidden="1"/>
    </xf>
    <xf numFmtId="0" fontId="0" fillId="0" borderId="17" xfId="0" applyBorder="1"/>
    <xf numFmtId="0" fontId="3" fillId="0" borderId="17" xfId="0" applyFont="1" applyBorder="1"/>
    <xf numFmtId="1" fontId="36" fillId="5" borderId="0" xfId="16" applyNumberFormat="1" applyFont="1" applyFill="1" applyBorder="1" applyAlignment="1">
      <alignment horizontal="center" vertical="center" wrapText="1"/>
    </xf>
    <xf numFmtId="0" fontId="0" fillId="0" borderId="22" xfId="0" applyBorder="1"/>
    <xf numFmtId="0" fontId="0" fillId="0" borderId="24" xfId="0" applyBorder="1"/>
    <xf numFmtId="1" fontId="0" fillId="0" borderId="24" xfId="0" applyNumberFormat="1" applyBorder="1"/>
    <xf numFmtId="1" fontId="0" fillId="0" borderId="0" xfId="0" applyNumberFormat="1"/>
    <xf numFmtId="0" fontId="0" fillId="0" borderId="6" xfId="0" applyBorder="1"/>
    <xf numFmtId="1" fontId="0" fillId="0" borderId="5" xfId="0" applyNumberFormat="1" applyBorder="1"/>
    <xf numFmtId="0" fontId="0" fillId="0" borderId="2" xfId="0" applyBorder="1"/>
    <xf numFmtId="0" fontId="0" fillId="0" borderId="5" xfId="0" applyBorder="1"/>
    <xf numFmtId="1" fontId="0" fillId="0" borderId="2" xfId="0" applyNumberFormat="1" applyBorder="1"/>
    <xf numFmtId="0" fontId="1" fillId="5" borderId="0" xfId="25" applyFont="1" applyFill="1"/>
    <xf numFmtId="178" fontId="36" fillId="5" borderId="0" xfId="0" applyNumberFormat="1" applyFont="1" applyFill="1" applyAlignment="1">
      <alignment horizontal="center"/>
    </xf>
    <xf numFmtId="178" fontId="36" fillId="5" borderId="34" xfId="0" applyNumberFormat="1" applyFont="1" applyFill="1" applyBorder="1" applyAlignment="1">
      <alignment horizontal="center"/>
    </xf>
    <xf numFmtId="178" fontId="32" fillId="5" borderId="0" xfId="16" applyNumberFormat="1" applyFont="1" applyFill="1" applyBorder="1" applyAlignment="1">
      <alignment horizontal="center" vertical="center" wrapText="1"/>
    </xf>
    <xf numFmtId="178" fontId="33" fillId="5" borderId="0" xfId="16" applyNumberFormat="1" applyFont="1" applyFill="1" applyBorder="1" applyAlignment="1">
      <alignment horizontal="center" vertical="center" wrapText="1"/>
    </xf>
    <xf numFmtId="178" fontId="32" fillId="8" borderId="0" xfId="16" applyNumberFormat="1" applyFont="1" applyFill="1" applyBorder="1" applyAlignment="1">
      <alignment horizontal="center" vertical="center" wrapText="1"/>
    </xf>
    <xf numFmtId="178" fontId="33" fillId="8" borderId="0" xfId="16" applyNumberFormat="1" applyFont="1" applyFill="1" applyBorder="1" applyAlignment="1">
      <alignment horizontal="center" vertical="center" wrapText="1"/>
    </xf>
    <xf numFmtId="178" fontId="36" fillId="5" borderId="0" xfId="16" applyNumberFormat="1" applyFont="1" applyFill="1" applyBorder="1" applyAlignment="1">
      <alignment horizontal="center"/>
    </xf>
    <xf numFmtId="178" fontId="32" fillId="8" borderId="0" xfId="16" applyNumberFormat="1" applyFont="1" applyFill="1" applyBorder="1" applyAlignment="1">
      <alignment horizontal="center"/>
    </xf>
    <xf numFmtId="178" fontId="32" fillId="5" borderId="34" xfId="16" applyNumberFormat="1" applyFont="1" applyFill="1" applyBorder="1" applyAlignment="1">
      <alignment horizontal="center"/>
    </xf>
    <xf numFmtId="178" fontId="32" fillId="5" borderId="0" xfId="16" applyNumberFormat="1" applyFont="1" applyFill="1" applyBorder="1" applyAlignment="1">
      <alignment horizontal="center"/>
    </xf>
    <xf numFmtId="178" fontId="32" fillId="8" borderId="41" xfId="16" applyNumberFormat="1" applyFont="1" applyFill="1" applyBorder="1" applyAlignment="1">
      <alignment horizontal="center"/>
    </xf>
    <xf numFmtId="178" fontId="22" fillId="2" borderId="44" xfId="0" applyNumberFormat="1" applyFont="1" applyFill="1" applyBorder="1" applyAlignment="1">
      <alignment horizontal="center"/>
    </xf>
    <xf numFmtId="178" fontId="22" fillId="2" borderId="10" xfId="0" applyNumberFormat="1" applyFont="1" applyFill="1" applyBorder="1" applyAlignment="1">
      <alignment horizontal="center"/>
    </xf>
    <xf numFmtId="0" fontId="42" fillId="10" borderId="23" xfId="0" applyFont="1" applyFill="1" applyBorder="1" applyAlignment="1">
      <alignment horizontal="center"/>
    </xf>
    <xf numFmtId="0" fontId="42" fillId="10" borderId="8" xfId="0" applyFont="1" applyFill="1" applyBorder="1" applyAlignment="1">
      <alignment horizontal="center"/>
    </xf>
    <xf numFmtId="0" fontId="42" fillId="10" borderId="9" xfId="0" applyFont="1" applyFill="1" applyBorder="1" applyAlignment="1">
      <alignment horizontal="center"/>
    </xf>
    <xf numFmtId="0" fontId="2" fillId="5" borderId="0" xfId="25" applyFont="1" applyFill="1" applyAlignment="1" applyProtection="1">
      <alignment horizontal="center"/>
      <protection hidden="1"/>
    </xf>
    <xf numFmtId="0" fontId="2" fillId="5" borderId="0" xfId="0" applyFont="1" applyFill="1" applyAlignment="1" applyProtection="1">
      <alignment horizontal="center" wrapText="1"/>
      <protection hidden="1"/>
    </xf>
    <xf numFmtId="0" fontId="2" fillId="0" borderId="11" xfId="57" applyFont="1" applyBorder="1" applyAlignment="1">
      <alignment horizontal="center" vertical="center"/>
    </xf>
    <xf numFmtId="0" fontId="2" fillId="0" borderId="1" xfId="57" applyFont="1" applyBorder="1" applyAlignment="1">
      <alignment horizontal="center" vertical="center"/>
    </xf>
    <xf numFmtId="0" fontId="2" fillId="0" borderId="3" xfId="57" applyFont="1" applyBorder="1" applyAlignment="1">
      <alignment horizontal="center" vertical="center"/>
    </xf>
    <xf numFmtId="0" fontId="2" fillId="0" borderId="12" xfId="57" applyFont="1" applyBorder="1" applyAlignment="1">
      <alignment horizontal="center" vertical="center" textRotation="90" wrapText="1"/>
    </xf>
    <xf numFmtId="0" fontId="2" fillId="0" borderId="7" xfId="57" applyFont="1" applyBorder="1" applyAlignment="1">
      <alignment horizontal="center" vertical="center" textRotation="90" wrapText="1"/>
    </xf>
    <xf numFmtId="0" fontId="2" fillId="0" borderId="10" xfId="57" applyFont="1" applyBorder="1" applyAlignment="1">
      <alignment horizontal="center" vertical="center" textRotation="90" wrapText="1"/>
    </xf>
    <xf numFmtId="0" fontId="2" fillId="5" borderId="42" xfId="25" applyFont="1" applyFill="1" applyBorder="1" applyAlignment="1" applyProtection="1">
      <alignment horizontal="left"/>
      <protection hidden="1"/>
    </xf>
    <xf numFmtId="0" fontId="2" fillId="5" borderId="42" xfId="0" applyFont="1" applyFill="1" applyBorder="1" applyAlignment="1" applyProtection="1">
      <alignment horizontal="left" wrapText="1"/>
      <protection hidden="1"/>
    </xf>
    <xf numFmtId="0" fontId="2" fillId="0" borderId="11" xfId="57" applyFont="1" applyBorder="1" applyAlignment="1">
      <alignment vertical="center" wrapText="1"/>
    </xf>
    <xf numFmtId="0" fontId="2" fillId="0" borderId="3" xfId="57" applyFont="1" applyBorder="1" applyAlignment="1">
      <alignment vertical="center" wrapText="1"/>
    </xf>
    <xf numFmtId="0" fontId="2" fillId="8" borderId="11" xfId="25" applyFont="1" applyFill="1" applyBorder="1" applyAlignment="1" applyProtection="1">
      <alignment horizontal="left" wrapText="1"/>
      <protection hidden="1"/>
    </xf>
    <xf numFmtId="0" fontId="2" fillId="8" borderId="1" xfId="25" applyFont="1" applyFill="1" applyBorder="1" applyAlignment="1" applyProtection="1">
      <alignment horizontal="left" wrapText="1"/>
      <protection hidden="1"/>
    </xf>
    <xf numFmtId="0" fontId="2" fillId="8" borderId="3" xfId="25" applyFont="1" applyFill="1" applyBorder="1" applyAlignment="1" applyProtection="1">
      <alignment horizontal="left" wrapText="1"/>
      <protection hidden="1"/>
    </xf>
    <xf numFmtId="0" fontId="29" fillId="0" borderId="0" xfId="39" applyFont="1" applyAlignment="1">
      <alignment horizontal="center"/>
    </xf>
    <xf numFmtId="0" fontId="3" fillId="0" borderId="23" xfId="0" applyFont="1" applyBorder="1" applyAlignment="1" applyProtection="1">
      <alignment horizontal="left" vertical="center"/>
      <protection hidden="1"/>
    </xf>
    <xf numFmtId="0" fontId="3" fillId="0" borderId="8" xfId="0" applyFont="1" applyBorder="1" applyAlignment="1" applyProtection="1">
      <alignment horizontal="left" vertical="center"/>
      <protection hidden="1"/>
    </xf>
    <xf numFmtId="0" fontId="3" fillId="0" borderId="9" xfId="0" applyFont="1" applyBorder="1" applyAlignment="1" applyProtection="1">
      <alignment horizontal="left" vertical="center"/>
      <protection hidden="1"/>
    </xf>
    <xf numFmtId="0" fontId="3" fillId="0" borderId="22"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3" fillId="0" borderId="24" xfId="0" applyFont="1" applyBorder="1" applyAlignment="1" applyProtection="1">
      <alignment horizontal="left" vertical="center"/>
      <protection hidden="1"/>
    </xf>
    <xf numFmtId="0" fontId="3" fillId="0" borderId="6" xfId="0" applyFont="1" applyBorder="1" applyAlignment="1" applyProtection="1">
      <alignment horizontal="left" vertical="center"/>
      <protection hidden="1"/>
    </xf>
    <xf numFmtId="0" fontId="3" fillId="0" borderId="5" xfId="0" applyFont="1" applyBorder="1" applyAlignment="1" applyProtection="1">
      <alignment horizontal="left" vertical="center"/>
      <protection hidden="1"/>
    </xf>
    <xf numFmtId="0" fontId="3" fillId="0" borderId="2" xfId="0" applyFont="1" applyBorder="1" applyAlignment="1" applyProtection="1">
      <alignment horizontal="left" vertical="center"/>
      <protection hidden="1"/>
    </xf>
    <xf numFmtId="0" fontId="39" fillId="9" borderId="11" xfId="25" applyFont="1" applyFill="1" applyBorder="1" applyAlignment="1" applyProtection="1">
      <alignment horizontal="left" wrapText="1"/>
      <protection hidden="1"/>
    </xf>
    <xf numFmtId="0" fontId="40" fillId="9" borderId="1" xfId="25" applyFont="1" applyFill="1" applyBorder="1" applyAlignment="1">
      <alignment wrapText="1"/>
    </xf>
    <xf numFmtId="0" fontId="39" fillId="9" borderId="1" xfId="25" applyFont="1" applyFill="1" applyBorder="1" applyAlignment="1" applyProtection="1">
      <alignment wrapText="1"/>
      <protection hidden="1"/>
    </xf>
    <xf numFmtId="0" fontId="3" fillId="8" borderId="1" xfId="25" applyFill="1" applyBorder="1" applyAlignment="1">
      <alignment horizontal="left" wrapText="1"/>
    </xf>
    <xf numFmtId="0" fontId="3" fillId="8" borderId="3" xfId="25" applyFill="1" applyBorder="1" applyAlignment="1">
      <alignment horizontal="left" wrapText="1"/>
    </xf>
    <xf numFmtId="0" fontId="41" fillId="9" borderId="11" xfId="25" applyFont="1" applyFill="1" applyBorder="1" applyAlignment="1" applyProtection="1">
      <alignment horizontal="left" wrapText="1"/>
      <protection hidden="1"/>
    </xf>
    <xf numFmtId="0" fontId="40" fillId="9" borderId="1" xfId="25" applyFont="1" applyFill="1" applyBorder="1" applyAlignment="1">
      <alignment horizontal="left" wrapText="1"/>
    </xf>
    <xf numFmtId="0" fontId="40" fillId="9" borderId="3" xfId="25" applyFont="1" applyFill="1" applyBorder="1" applyAlignment="1">
      <alignment horizontal="left" wrapText="1"/>
    </xf>
    <xf numFmtId="0" fontId="41" fillId="9" borderId="11" xfId="25" applyFont="1" applyFill="1" applyBorder="1" applyAlignment="1" applyProtection="1">
      <alignment horizontal="left" wrapText="1" readingOrder="1"/>
      <protection hidden="1"/>
    </xf>
    <xf numFmtId="0" fontId="41" fillId="9" borderId="1" xfId="25" applyFont="1" applyFill="1" applyBorder="1" applyAlignment="1" applyProtection="1">
      <alignment horizontal="left" wrapText="1" readingOrder="1"/>
      <protection hidden="1"/>
    </xf>
    <xf numFmtId="0" fontId="41" fillId="9" borderId="3" xfId="25" applyFont="1" applyFill="1" applyBorder="1" applyAlignment="1" applyProtection="1">
      <alignment horizontal="left" wrapText="1" readingOrder="1"/>
      <protection hidden="1"/>
    </xf>
    <xf numFmtId="165" fontId="2" fillId="8" borderId="11" xfId="25" applyNumberFormat="1" applyFont="1" applyFill="1" applyBorder="1" applyAlignment="1" applyProtection="1">
      <alignment horizontal="left" wrapText="1"/>
      <protection hidden="1"/>
    </xf>
    <xf numFmtId="165" fontId="2" fillId="8" borderId="1" xfId="25" applyNumberFormat="1" applyFont="1" applyFill="1" applyBorder="1" applyAlignment="1" applyProtection="1">
      <alignment horizontal="left" wrapText="1"/>
      <protection hidden="1"/>
    </xf>
    <xf numFmtId="165" fontId="2" fillId="8" borderId="3" xfId="25" applyNumberFormat="1" applyFont="1" applyFill="1" applyBorder="1" applyAlignment="1" applyProtection="1">
      <alignment horizontal="left" wrapText="1"/>
      <protection hidden="1"/>
    </xf>
    <xf numFmtId="0" fontId="22" fillId="2" borderId="27" xfId="0" applyFont="1" applyFill="1" applyBorder="1" applyAlignment="1">
      <alignment wrapText="1"/>
    </xf>
    <xf numFmtId="0" fontId="22" fillId="2" borderId="28" xfId="0" applyFont="1" applyFill="1" applyBorder="1" applyAlignment="1">
      <alignment wrapText="1"/>
    </xf>
    <xf numFmtId="0" fontId="22" fillId="2" borderId="43" xfId="0" applyFont="1" applyFill="1" applyBorder="1" applyAlignment="1">
      <alignment wrapText="1"/>
    </xf>
    <xf numFmtId="0" fontId="22" fillId="2" borderId="45" xfId="0" applyFont="1" applyFill="1" applyBorder="1" applyAlignment="1">
      <alignment wrapText="1"/>
    </xf>
    <xf numFmtId="0" fontId="22" fillId="2" borderId="42" xfId="0" applyFont="1" applyFill="1" applyBorder="1" applyAlignment="1">
      <alignment wrapText="1"/>
    </xf>
    <xf numFmtId="0" fontId="22" fillId="2" borderId="46" xfId="0" applyFont="1" applyFill="1" applyBorder="1" applyAlignment="1">
      <alignment wrapText="1"/>
    </xf>
    <xf numFmtId="0" fontId="39" fillId="9" borderId="11" xfId="25" applyFont="1" applyFill="1" applyBorder="1" applyAlignment="1" applyProtection="1">
      <alignment vertical="top" wrapText="1"/>
      <protection hidden="1"/>
    </xf>
    <xf numFmtId="0" fontId="40" fillId="9" borderId="1" xfId="25" applyFont="1" applyFill="1" applyBorder="1" applyAlignment="1">
      <alignment vertical="top" wrapText="1"/>
    </xf>
    <xf numFmtId="0" fontId="41" fillId="9" borderId="1" xfId="25" applyFont="1" applyFill="1" applyBorder="1" applyAlignment="1" applyProtection="1">
      <alignment vertical="center" wrapText="1"/>
      <protection hidden="1"/>
    </xf>
    <xf numFmtId="0" fontId="41" fillId="9" borderId="1" xfId="25" applyFont="1" applyFill="1" applyBorder="1" applyAlignment="1" applyProtection="1">
      <alignment horizontal="left" wrapText="1"/>
      <protection hidden="1"/>
    </xf>
    <xf numFmtId="0" fontId="41" fillId="9" borderId="3" xfId="25" applyFont="1" applyFill="1" applyBorder="1" applyAlignment="1" applyProtection="1">
      <alignment horizontal="left" wrapText="1"/>
      <protection hidden="1"/>
    </xf>
    <xf numFmtId="0" fontId="2" fillId="9" borderId="11" xfId="25" applyFont="1" applyFill="1" applyBorder="1" applyAlignment="1" applyProtection="1">
      <alignment horizontal="left" wrapText="1" readingOrder="1"/>
      <protection hidden="1"/>
    </xf>
    <xf numFmtId="0" fontId="2" fillId="9" borderId="1" xfId="25" applyFont="1" applyFill="1" applyBorder="1" applyAlignment="1" applyProtection="1">
      <alignment horizontal="left" wrapText="1" readingOrder="1"/>
      <protection hidden="1"/>
    </xf>
    <xf numFmtId="0" fontId="2" fillId="9" borderId="3" xfId="25" applyFont="1" applyFill="1" applyBorder="1" applyAlignment="1" applyProtection="1">
      <alignment horizontal="left" wrapText="1" readingOrder="1"/>
      <protection hidden="1"/>
    </xf>
    <xf numFmtId="0" fontId="3" fillId="5" borderId="29" xfId="0" applyFont="1" applyFill="1" applyBorder="1" applyAlignment="1">
      <alignment horizontal="left" vertical="center" wrapText="1"/>
    </xf>
    <xf numFmtId="0" fontId="3" fillId="5" borderId="0" xfId="0" applyFont="1" applyFill="1" applyAlignment="1">
      <alignment horizontal="left" vertical="center" wrapText="1"/>
    </xf>
  </cellXfs>
  <cellStyles count="105">
    <cellStyle name="Comma 2" xfId="1" xr:uid="{00000000-0005-0000-0000-000000000000}"/>
    <cellStyle name="Comma 2 2" xfId="2" xr:uid="{00000000-0005-0000-0000-000001000000}"/>
    <cellStyle name="Comma 2 3" xfId="3" xr:uid="{00000000-0005-0000-0000-000002000000}"/>
    <cellStyle name="Comma 2 4" xfId="4" xr:uid="{00000000-0005-0000-0000-000003000000}"/>
    <cellStyle name="Comma 3" xfId="5" xr:uid="{00000000-0005-0000-0000-000004000000}"/>
    <cellStyle name="Comma 3 2" xfId="6" xr:uid="{00000000-0005-0000-0000-000005000000}"/>
    <cellStyle name="Comma 3 3" xfId="7" xr:uid="{00000000-0005-0000-0000-000006000000}"/>
    <cellStyle name="Comma 3 3 2" xfId="8" xr:uid="{00000000-0005-0000-0000-000007000000}"/>
    <cellStyle name="Comma 3 4" xfId="9" xr:uid="{00000000-0005-0000-0000-000008000000}"/>
    <cellStyle name="Comma 4" xfId="10" xr:uid="{00000000-0005-0000-0000-000009000000}"/>
    <cellStyle name="Comma 4 2" xfId="11" xr:uid="{00000000-0005-0000-0000-00000A000000}"/>
    <cellStyle name="Comma 5" xfId="12" xr:uid="{00000000-0005-0000-0000-00000B000000}"/>
    <cellStyle name="Comma 5 2" xfId="13" xr:uid="{00000000-0005-0000-0000-00000C000000}"/>
    <cellStyle name="Comma 5 3" xfId="14" xr:uid="{00000000-0005-0000-0000-00000D000000}"/>
    <cellStyle name="Comma 5 3 2" xfId="15" xr:uid="{00000000-0005-0000-0000-00000E000000}"/>
    <cellStyle name="Comma 6" xfId="16" xr:uid="{00000000-0005-0000-0000-00000F000000}"/>
    <cellStyle name="Comma 6 2" xfId="17" xr:uid="{00000000-0005-0000-0000-000010000000}"/>
    <cellStyle name="Comma 6 3" xfId="18" xr:uid="{00000000-0005-0000-0000-000011000000}"/>
    <cellStyle name="Comma 7" xfId="19" xr:uid="{00000000-0005-0000-0000-000012000000}"/>
    <cellStyle name="Currency 2" xfId="20" xr:uid="{00000000-0005-0000-0000-000013000000}"/>
    <cellStyle name="Currency 3" xfId="21" xr:uid="{00000000-0005-0000-0000-000014000000}"/>
    <cellStyle name="Hyperlink 2 2" xfId="22" xr:uid="{00000000-0005-0000-0000-000015000000}"/>
    <cellStyle name="Hyperlink 2 3" xfId="23" xr:uid="{00000000-0005-0000-0000-000016000000}"/>
    <cellStyle name="Hyperlink 3 2" xfId="24" xr:uid="{00000000-0005-0000-0000-000017000000}"/>
    <cellStyle name="Normal" xfId="0" builtinId="0"/>
    <cellStyle name="Normal 2 2" xfId="25" xr:uid="{00000000-0005-0000-0000-000019000000}"/>
    <cellStyle name="Normal 2 2 2" xfId="26" xr:uid="{00000000-0005-0000-0000-00001A000000}"/>
    <cellStyle name="Normal 2 2 2 2" xfId="27" xr:uid="{00000000-0005-0000-0000-00001B000000}"/>
    <cellStyle name="Normal 2 2 2 3" xfId="28" xr:uid="{00000000-0005-0000-0000-00001C000000}"/>
    <cellStyle name="Normal 2 2 3" xfId="29" xr:uid="{00000000-0005-0000-0000-00001D000000}"/>
    <cellStyle name="Normal 2 2 4" xfId="30" xr:uid="{00000000-0005-0000-0000-00001E000000}"/>
    <cellStyle name="Normal 2 2 5" xfId="31" xr:uid="{00000000-0005-0000-0000-00001F000000}"/>
    <cellStyle name="Normal 2 3" xfId="32" xr:uid="{00000000-0005-0000-0000-000020000000}"/>
    <cellStyle name="Normal 2 3 2" xfId="33" xr:uid="{00000000-0005-0000-0000-000021000000}"/>
    <cellStyle name="Normal 2 3 3" xfId="34" xr:uid="{00000000-0005-0000-0000-000022000000}"/>
    <cellStyle name="Normal 2 4" xfId="35" xr:uid="{00000000-0005-0000-0000-000023000000}"/>
    <cellStyle name="Normal 2 5" xfId="36" xr:uid="{00000000-0005-0000-0000-000024000000}"/>
    <cellStyle name="Normal 2 6" xfId="37" xr:uid="{00000000-0005-0000-0000-000025000000}"/>
    <cellStyle name="Normal 3 2" xfId="38" xr:uid="{00000000-0005-0000-0000-000026000000}"/>
    <cellStyle name="Normal 3 2 2" xfId="39" xr:uid="{00000000-0005-0000-0000-000027000000}"/>
    <cellStyle name="Normal 3 2 3" xfId="40" xr:uid="{00000000-0005-0000-0000-000028000000}"/>
    <cellStyle name="Normal 3 2 4" xfId="41" xr:uid="{00000000-0005-0000-0000-000029000000}"/>
    <cellStyle name="Normal 3 2 4 2" xfId="42" xr:uid="{00000000-0005-0000-0000-00002A000000}"/>
    <cellStyle name="Normal 3 2 4 3" xfId="43" xr:uid="{00000000-0005-0000-0000-00002B000000}"/>
    <cellStyle name="Normal 3 2 5" xfId="44" xr:uid="{00000000-0005-0000-0000-00002C000000}"/>
    <cellStyle name="Normal 3 3" xfId="45" xr:uid="{00000000-0005-0000-0000-00002D000000}"/>
    <cellStyle name="Normal 3 4" xfId="46" xr:uid="{00000000-0005-0000-0000-00002E000000}"/>
    <cellStyle name="Normal 3 5" xfId="47" xr:uid="{00000000-0005-0000-0000-00002F000000}"/>
    <cellStyle name="Normal 4" xfId="48" xr:uid="{00000000-0005-0000-0000-000030000000}"/>
    <cellStyle name="Normal 4 2" xfId="49" xr:uid="{00000000-0005-0000-0000-000031000000}"/>
    <cellStyle name="Normal 4 2 2" xfId="50" xr:uid="{00000000-0005-0000-0000-000032000000}"/>
    <cellStyle name="Normal 4 2 3" xfId="51" xr:uid="{00000000-0005-0000-0000-000033000000}"/>
    <cellStyle name="Normal 4 3" xfId="52" xr:uid="{00000000-0005-0000-0000-000034000000}"/>
    <cellStyle name="Normal 5" xfId="53" xr:uid="{00000000-0005-0000-0000-000035000000}"/>
    <cellStyle name="Normal 5 2" xfId="54" xr:uid="{00000000-0005-0000-0000-000036000000}"/>
    <cellStyle name="Normal 5 3" xfId="55" xr:uid="{00000000-0005-0000-0000-000037000000}"/>
    <cellStyle name="Normal 5 4" xfId="56" xr:uid="{00000000-0005-0000-0000-000038000000}"/>
    <cellStyle name="Normal 6" xfId="57" xr:uid="{00000000-0005-0000-0000-000039000000}"/>
    <cellStyle name="Normal 6 2" xfId="58" xr:uid="{00000000-0005-0000-0000-00003A000000}"/>
    <cellStyle name="Normal 6 3" xfId="59" xr:uid="{00000000-0005-0000-0000-00003B000000}"/>
    <cellStyle name="Normal 6 3 2" xfId="60" xr:uid="{00000000-0005-0000-0000-00003C000000}"/>
    <cellStyle name="Normal 6 3 3" xfId="61" xr:uid="{00000000-0005-0000-0000-00003D000000}"/>
    <cellStyle name="Normal 7" xfId="62" xr:uid="{00000000-0005-0000-0000-00003E000000}"/>
    <cellStyle name="Normal 7 2" xfId="63" xr:uid="{00000000-0005-0000-0000-00003F000000}"/>
    <cellStyle name="Normal 8" xfId="64" xr:uid="{00000000-0005-0000-0000-000040000000}"/>
    <cellStyle name="Normal 9" xfId="65" xr:uid="{00000000-0005-0000-0000-000041000000}"/>
    <cellStyle name="Normal 9 2" xfId="66" xr:uid="{00000000-0005-0000-0000-000042000000}"/>
    <cellStyle name="Percent 10" xfId="67" xr:uid="{00000000-0005-0000-0000-000043000000}"/>
    <cellStyle name="Percent 10 2" xfId="68" xr:uid="{00000000-0005-0000-0000-000044000000}"/>
    <cellStyle name="Percent 10 3" xfId="69" xr:uid="{00000000-0005-0000-0000-000045000000}"/>
    <cellStyle name="Percent 10 4" xfId="70" xr:uid="{00000000-0005-0000-0000-000046000000}"/>
    <cellStyle name="Percent 2" xfId="71" xr:uid="{00000000-0005-0000-0000-000047000000}"/>
    <cellStyle name="Percent 2 2" xfId="72" xr:uid="{00000000-0005-0000-0000-000048000000}"/>
    <cellStyle name="Percent 2 3" xfId="73" xr:uid="{00000000-0005-0000-0000-000049000000}"/>
    <cellStyle name="Percent 2 3 2" xfId="74" xr:uid="{00000000-0005-0000-0000-00004A000000}"/>
    <cellStyle name="Percent 2 3 3" xfId="75" xr:uid="{00000000-0005-0000-0000-00004B000000}"/>
    <cellStyle name="Percent 2 3 4" xfId="76" xr:uid="{00000000-0005-0000-0000-00004C000000}"/>
    <cellStyle name="Percent 2 4" xfId="77" xr:uid="{00000000-0005-0000-0000-00004D000000}"/>
    <cellStyle name="Percent 2 5" xfId="78" xr:uid="{00000000-0005-0000-0000-00004E000000}"/>
    <cellStyle name="Percent 3" xfId="79" xr:uid="{00000000-0005-0000-0000-00004F000000}"/>
    <cellStyle name="Percent 3 2" xfId="80" xr:uid="{00000000-0005-0000-0000-000050000000}"/>
    <cellStyle name="Percent 4" xfId="81" xr:uid="{00000000-0005-0000-0000-000051000000}"/>
    <cellStyle name="Percent 4 2" xfId="82" xr:uid="{00000000-0005-0000-0000-000052000000}"/>
    <cellStyle name="Percent 5" xfId="83" xr:uid="{00000000-0005-0000-0000-000053000000}"/>
    <cellStyle name="Percent 5 2" xfId="84" xr:uid="{00000000-0005-0000-0000-000054000000}"/>
    <cellStyle name="Percent 5 2 2" xfId="85" xr:uid="{00000000-0005-0000-0000-000055000000}"/>
    <cellStyle name="Percent 5 2 3" xfId="86" xr:uid="{00000000-0005-0000-0000-000056000000}"/>
    <cellStyle name="Percent 5 2 3 2" xfId="87" xr:uid="{00000000-0005-0000-0000-000057000000}"/>
    <cellStyle name="Percent 5 3" xfId="88" xr:uid="{00000000-0005-0000-0000-000058000000}"/>
    <cellStyle name="Percent 5 3 2" xfId="89" xr:uid="{00000000-0005-0000-0000-000059000000}"/>
    <cellStyle name="Percent 6" xfId="90" xr:uid="{00000000-0005-0000-0000-00005A000000}"/>
    <cellStyle name="Percent 6 2" xfId="91" xr:uid="{00000000-0005-0000-0000-00005B000000}"/>
    <cellStyle name="Percent 6 3" xfId="92" xr:uid="{00000000-0005-0000-0000-00005C000000}"/>
    <cellStyle name="Percent 7" xfId="93" xr:uid="{00000000-0005-0000-0000-00005D000000}"/>
    <cellStyle name="Percent 7 2" xfId="94" xr:uid="{00000000-0005-0000-0000-00005E000000}"/>
    <cellStyle name="Percent 7 3" xfId="95" xr:uid="{00000000-0005-0000-0000-00005F000000}"/>
    <cellStyle name="Percent 7 4" xfId="96" xr:uid="{00000000-0005-0000-0000-000060000000}"/>
    <cellStyle name="Percent 7 4 2" xfId="97" xr:uid="{00000000-0005-0000-0000-000061000000}"/>
    <cellStyle name="Percent 7 5" xfId="98" xr:uid="{00000000-0005-0000-0000-000062000000}"/>
    <cellStyle name="Percent 7 5 2" xfId="99" xr:uid="{00000000-0005-0000-0000-000063000000}"/>
    <cellStyle name="Percent 8" xfId="100" xr:uid="{00000000-0005-0000-0000-000064000000}"/>
    <cellStyle name="Percent 8 2" xfId="101" xr:uid="{00000000-0005-0000-0000-000065000000}"/>
    <cellStyle name="Percent 8 3" xfId="102" xr:uid="{00000000-0005-0000-0000-000066000000}"/>
    <cellStyle name="Percent 8 3 2" xfId="103" xr:uid="{00000000-0005-0000-0000-000067000000}"/>
    <cellStyle name="Percent 9" xfId="104" xr:uid="{00000000-0005-0000-0000-000068000000}"/>
  </cellStyles>
  <dxfs count="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top/>
        <bottom style="thin">
          <color indexed="64"/>
        </bottom>
        <vertical/>
        <horizontal/>
      </border>
    </dxf>
  </dxfs>
  <tableStyles count="1" defaultTableStyle="TableStyleMedium9" defaultPivotStyle="PivotStyleLight16">
    <tableStyle name="Invisible" pivot="0" table="0" count="0" xr9:uid="{CCA93E66-2F46-463D-980D-E712F1439AA6}"/>
  </tableStyles>
  <colors>
    <mruColors>
      <color rgb="FFAD9244"/>
      <color rgb="FF3A6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ZA" sz="1100" b="1" i="0" baseline="0">
                <a:effectLst/>
              </a:rPr>
              <a:t>Margin Comparison / Marge Vergelyking: Northern Cape Irrigation (R/ha)</a:t>
            </a:r>
            <a:endParaRPr lang="en-GB" sz="1100">
              <a:effectLst/>
            </a:endParaRPr>
          </a:p>
        </c:rich>
      </c:tx>
      <c:overlay val="0"/>
      <c:spPr>
        <a:noFill/>
        <a:ln w="25400">
          <a:noFill/>
        </a:ln>
      </c:spPr>
    </c:title>
    <c:autoTitleDeleted val="0"/>
    <c:plotArea>
      <c:layout>
        <c:manualLayout>
          <c:layoutTarget val="inner"/>
          <c:xMode val="edge"/>
          <c:yMode val="edge"/>
          <c:x val="0.11843363555286714"/>
          <c:y val="0.18523305153980932"/>
          <c:w val="0.81471911804535091"/>
          <c:h val="0.70721847670615801"/>
        </c:manualLayout>
      </c:layout>
      <c:barChart>
        <c:barDir val="col"/>
        <c:grouping val="clustered"/>
        <c:varyColors val="0"/>
        <c:ser>
          <c:idx val="0"/>
          <c:order val="0"/>
          <c:tx>
            <c:strRef>
              <c:f>'Crop Comparison'!$A$34</c:f>
              <c:strCache>
                <c:ptCount val="1"/>
                <c:pt idx="0">
                  <c:v>3) GROSS MARGIN  (R/ha)</c:v>
                </c:pt>
              </c:strCache>
            </c:strRef>
          </c:tx>
          <c:spPr>
            <a:solidFill>
              <a:schemeClr val="bg1"/>
            </a:solidFill>
            <a:ln w="25400">
              <a:solidFill>
                <a:schemeClr val="accent1"/>
              </a:solidFill>
            </a:ln>
            <a:effectLst/>
          </c:spPr>
          <c:invertIfNegative val="0"/>
          <c:dLbls>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dk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Comparison'!$B$2:$D$2</c:f>
              <c:strCache>
                <c:ptCount val="3"/>
                <c:pt idx="0">
                  <c:v>Irr-Maize</c:v>
                </c:pt>
                <c:pt idx="1">
                  <c:v>Irr-Soy</c:v>
                </c:pt>
                <c:pt idx="2">
                  <c:v>Irr-Groundnuts</c:v>
                </c:pt>
              </c:strCache>
            </c:strRef>
          </c:cat>
          <c:val>
            <c:numRef>
              <c:f>'Crop Comparison'!$B$34:$D$34</c:f>
              <c:numCache>
                <c:formatCode>"R"#\ ##0</c:formatCode>
                <c:ptCount val="3"/>
                <c:pt idx="0">
                  <c:v>-3517.9831412750864</c:v>
                </c:pt>
                <c:pt idx="1">
                  <c:v>-6095.7860531972728</c:v>
                </c:pt>
                <c:pt idx="2" formatCode="&quot;R&quot;#\ ##0.00">
                  <c:v>2530.1141583595308</c:v>
                </c:pt>
              </c:numCache>
            </c:numRef>
          </c:val>
          <c:extLst>
            <c:ext xmlns:c16="http://schemas.microsoft.com/office/drawing/2014/chart" uri="{C3380CC4-5D6E-409C-BE32-E72D297353CC}">
              <c16:uniqueId val="{00000001-C0BA-419D-8EEF-15E218347CCC}"/>
            </c:ext>
          </c:extLst>
        </c:ser>
        <c:ser>
          <c:idx val="1"/>
          <c:order val="1"/>
          <c:tx>
            <c:strRef>
              <c:f>'Crop Comparison'!$A$35</c:f>
              <c:strCache>
                <c:ptCount val="1"/>
                <c:pt idx="0">
                  <c:v>4) NETT MARGIN  (R/ha)</c:v>
                </c:pt>
              </c:strCache>
            </c:strRef>
          </c:tx>
          <c:spPr>
            <a:noFill/>
            <a:ln w="31750">
              <a:solidFill>
                <a:srgbClr val="FF0000"/>
              </a:solidFill>
            </a:ln>
          </c:spPr>
          <c:invertIfNegative val="0"/>
          <c:dLbls>
            <c:spPr>
              <a:ln>
                <a:solidFill>
                  <a:srgbClr val="FF0000"/>
                </a:solidFill>
              </a:ln>
            </c:spPr>
            <c:txPr>
              <a:bodyPr/>
              <a:lstStyle/>
              <a:p>
                <a:pPr>
                  <a:defRPr sz="11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Comparison'!$B$2:$D$2</c:f>
              <c:strCache>
                <c:ptCount val="3"/>
                <c:pt idx="0">
                  <c:v>Irr-Maize</c:v>
                </c:pt>
                <c:pt idx="1">
                  <c:v>Irr-Soy</c:v>
                </c:pt>
                <c:pt idx="2">
                  <c:v>Irr-Groundnuts</c:v>
                </c:pt>
              </c:strCache>
            </c:strRef>
          </c:cat>
          <c:val>
            <c:numRef>
              <c:f>'Crop Comparison'!$B$35:$D$35</c:f>
              <c:numCache>
                <c:formatCode>"R"#\ ##0</c:formatCode>
                <c:ptCount val="3"/>
                <c:pt idx="0">
                  <c:v>-11317.983141275086</c:v>
                </c:pt>
                <c:pt idx="1">
                  <c:v>-11985.786053197273</c:v>
                </c:pt>
                <c:pt idx="2" formatCode="&quot;R&quot;#\ ##0.00">
                  <c:v>-4433.6858416404721</c:v>
                </c:pt>
              </c:numCache>
            </c:numRef>
          </c:val>
          <c:extLst>
            <c:ext xmlns:c16="http://schemas.microsoft.com/office/drawing/2014/chart" uri="{C3380CC4-5D6E-409C-BE32-E72D297353CC}">
              <c16:uniqueId val="{00000002-C0BA-419D-8EEF-15E218347CCC}"/>
            </c:ext>
          </c:extLst>
        </c:ser>
        <c:dLbls>
          <c:showLegendKey val="0"/>
          <c:showVal val="0"/>
          <c:showCatName val="0"/>
          <c:showSerName val="0"/>
          <c:showPercent val="0"/>
          <c:showBubbleSize val="0"/>
        </c:dLbls>
        <c:gapWidth val="150"/>
        <c:axId val="1246651903"/>
        <c:axId val="1"/>
      </c:barChart>
      <c:catAx>
        <c:axId val="1246651903"/>
        <c:scaling>
          <c:orientation val="minMax"/>
        </c:scaling>
        <c:delete val="0"/>
        <c:axPos val="b"/>
        <c:numFmt formatCode="General" sourceLinked="1"/>
        <c:majorTickMark val="none"/>
        <c:minorTickMark val="none"/>
        <c:tickLblPos val="low"/>
        <c:spPr>
          <a:ln w="9525">
            <a:noFill/>
          </a:ln>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 sourceLinked="1"/>
        <c:majorTickMark val="none"/>
        <c:minorTickMark val="none"/>
        <c:tickLblPos val="nextTo"/>
        <c:spPr>
          <a:ln w="9525">
            <a:noFill/>
          </a:ln>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246651903"/>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Soybean profitability</a:t>
            </a:r>
          </a:p>
        </c:rich>
      </c:tx>
      <c:overlay val="0"/>
    </c:title>
    <c:autoTitleDeleted val="0"/>
    <c:plotArea>
      <c:layout/>
      <c:doughnutChart>
        <c:varyColors val="1"/>
        <c:ser>
          <c:idx val="0"/>
          <c:order val="0"/>
          <c:tx>
            <c:strRef>
              <c:f>'[1]Rev meters'!$A$18</c:f>
              <c:strCache>
                <c:ptCount val="1"/>
                <c:pt idx="0">
                  <c:v>Winsgewendheid: Besproeiing Sojabone</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EC5-4EA9-8B02-A6F51083343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EC5-4EA9-8B02-A6F51083343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EC5-4EA9-8B02-A6F51083343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EC5-4EA9-8B02-A6F51083343C}"/>
              </c:ext>
            </c:extLst>
          </c:dPt>
          <c:dPt>
            <c:idx val="4"/>
            <c:bubble3D val="0"/>
            <c:spPr>
              <a:noFill/>
              <a:ln>
                <a:noFill/>
              </a:ln>
              <a:effectLst/>
            </c:spPr>
            <c:extLst>
              <c:ext xmlns:c16="http://schemas.microsoft.com/office/drawing/2014/chart" uri="{C3380CC4-5D6E-409C-BE32-E72D297353CC}">
                <c16:uniqueId val="{00000009-1EC5-4EA9-8B02-A6F51083343C}"/>
              </c:ext>
            </c:extLst>
          </c:dPt>
          <c:dLbls>
            <c:dLbl>
              <c:idx val="0"/>
              <c:delete val="1"/>
              <c:extLst>
                <c:ext xmlns:c15="http://schemas.microsoft.com/office/drawing/2012/chart" uri="{CE6537A1-D6FC-4f65-9D91-7224C49458BB}"/>
                <c:ext xmlns:c16="http://schemas.microsoft.com/office/drawing/2014/chart" uri="{C3380CC4-5D6E-409C-BE32-E72D297353CC}">
                  <c16:uniqueId val="{00000001-1EC5-4EA9-8B02-A6F51083343C}"/>
                </c:ext>
              </c:extLst>
            </c:dLbl>
            <c:dLbl>
              <c:idx val="1"/>
              <c:tx>
                <c:rich>
                  <a:bodyPr/>
                  <a:lstStyle/>
                  <a:p>
                    <a:r>
                      <a:rPr lang="en-US"/>
                      <a:t>Variable cost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C5-4EA9-8B02-A6F51083343C}"/>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1EC5-4EA9-8B02-A6F51083343C}"/>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1EC5-4EA9-8B02-A6F51083343C}"/>
                </c:ext>
              </c:extLst>
            </c:dLbl>
            <c:dLbl>
              <c:idx val="4"/>
              <c:delete val="1"/>
              <c:extLst>
                <c:ext xmlns:c15="http://schemas.microsoft.com/office/drawing/2012/chart" uri="{CE6537A1-D6FC-4f65-9D91-7224C49458BB}"/>
                <c:ext xmlns:c16="http://schemas.microsoft.com/office/drawing/2014/chart" uri="{C3380CC4-5D6E-409C-BE32-E72D297353CC}">
                  <c16:uniqueId val="{00000009-1EC5-4EA9-8B02-A6F51083343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'[1]Rev meters'!$C$19:$C$23</c:f>
              <c:numCache>
                <c:formatCode>General</c:formatCode>
                <c:ptCount val="5"/>
                <c:pt idx="0">
                  <c:v>0</c:v>
                </c:pt>
                <c:pt idx="1">
                  <c:v>53.521065632133599</c:v>
                </c:pt>
                <c:pt idx="2">
                  <c:v>8.8606808106101607</c:v>
                </c:pt>
                <c:pt idx="3">
                  <c:v>37.618253557256239</c:v>
                </c:pt>
                <c:pt idx="4">
                  <c:v>100</c:v>
                </c:pt>
              </c:numCache>
            </c:numRef>
          </c:val>
          <c:extLst>
            <c:ext xmlns:c16="http://schemas.microsoft.com/office/drawing/2014/chart" uri="{C3380CC4-5D6E-409C-BE32-E72D297353CC}">
              <c16:uniqueId val="{0000000A-1EC5-4EA9-8B02-A6F51083343C}"/>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'[1]Rev meters'!$D$18</c:f>
              <c:strCache>
                <c:ptCount val="1"/>
                <c:pt idx="0">
                  <c:v>Pointer</c:v>
                </c:pt>
              </c:strCache>
            </c:strRef>
          </c:tx>
          <c:dPt>
            <c:idx val="0"/>
            <c:bubble3D val="0"/>
            <c:spPr>
              <a:noFill/>
              <a:ln>
                <a:noFill/>
              </a:ln>
              <a:effectLst/>
            </c:spPr>
            <c:extLst>
              <c:ext xmlns:c16="http://schemas.microsoft.com/office/drawing/2014/chart" uri="{C3380CC4-5D6E-409C-BE32-E72D297353CC}">
                <c16:uniqueId val="{0000000C-1EC5-4EA9-8B02-A6F51083343C}"/>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1EC5-4EA9-8B02-A6F51083343C}"/>
              </c:ext>
            </c:extLst>
          </c:dPt>
          <c:dPt>
            <c:idx val="2"/>
            <c:bubble3D val="0"/>
            <c:spPr>
              <a:noFill/>
              <a:ln>
                <a:noFill/>
              </a:ln>
              <a:effectLst/>
            </c:spPr>
            <c:extLst>
              <c:ext xmlns:c16="http://schemas.microsoft.com/office/drawing/2014/chart" uri="{C3380CC4-5D6E-409C-BE32-E72D297353CC}">
                <c16:uniqueId val="{00000010-1EC5-4EA9-8B02-A6F51083343C}"/>
              </c:ext>
            </c:extLst>
          </c:dPt>
          <c:val>
            <c:numRef>
              <c:f>'[1]Rev meters'!$F$19:$F$21</c:f>
              <c:numCache>
                <c:formatCode>General</c:formatCode>
                <c:ptCount val="3"/>
                <c:pt idx="0">
                  <c:v>37.618253557256239</c:v>
                </c:pt>
                <c:pt idx="1">
                  <c:v>1</c:v>
                </c:pt>
                <c:pt idx="2">
                  <c:v>161.38174644274375</c:v>
                </c:pt>
              </c:numCache>
            </c:numRef>
          </c:val>
          <c:extLst>
            <c:ext xmlns:c16="http://schemas.microsoft.com/office/drawing/2014/chart" uri="{C3380CC4-5D6E-409C-BE32-E72D297353CC}">
              <c16:uniqueId val="{00000011-1EC5-4EA9-8B02-A6F51083343C}"/>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Grondboonwinsgewendheid</a:t>
            </a:r>
          </a:p>
        </c:rich>
      </c:tx>
      <c:overlay val="0"/>
    </c:title>
    <c:autoTitleDeleted val="0"/>
    <c:plotArea>
      <c:layout/>
      <c:doughnutChart>
        <c:varyColors val="1"/>
        <c:ser>
          <c:idx val="0"/>
          <c:order val="0"/>
          <c:tx>
            <c:strRef>
              <c:f>'[1]Rev meters'!$A$35</c:f>
              <c:strCache>
                <c:ptCount val="1"/>
                <c:pt idx="0">
                  <c:v>Winsgewendheid: Besproeiing Grondbone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308-44C3-9A24-0D518D8F673D}"/>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308-44C3-9A24-0D518D8F673D}"/>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2308-44C3-9A24-0D518D8F673D}"/>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2308-44C3-9A24-0D518D8F673D}"/>
              </c:ext>
            </c:extLst>
          </c:dPt>
          <c:dPt>
            <c:idx val="4"/>
            <c:bubble3D val="0"/>
            <c:spPr>
              <a:noFill/>
              <a:ln>
                <a:noFill/>
              </a:ln>
              <a:effectLst/>
            </c:spPr>
            <c:extLst>
              <c:ext xmlns:c16="http://schemas.microsoft.com/office/drawing/2014/chart" uri="{C3380CC4-5D6E-409C-BE32-E72D297353CC}">
                <c16:uniqueId val="{00000009-2308-44C3-9A24-0D518D8F673D}"/>
              </c:ext>
            </c:extLst>
          </c:dPt>
          <c:dLbls>
            <c:dLbl>
              <c:idx val="0"/>
              <c:delete val="1"/>
              <c:extLst>
                <c:ext xmlns:c15="http://schemas.microsoft.com/office/drawing/2012/chart" uri="{CE6537A1-D6FC-4f65-9D91-7224C49458BB}"/>
                <c:ext xmlns:c16="http://schemas.microsoft.com/office/drawing/2014/chart" uri="{C3380CC4-5D6E-409C-BE32-E72D297353CC}">
                  <c16:uniqueId val="{00000001-2308-44C3-9A24-0D518D8F673D}"/>
                </c:ext>
              </c:extLst>
            </c:dLbl>
            <c:dLbl>
              <c:idx val="1"/>
              <c:tx>
                <c:rich>
                  <a:bodyPr/>
                  <a:lstStyle/>
                  <a:p>
                    <a:r>
                      <a:rPr lang="en-US"/>
                      <a:t>Veranderlike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2308-44C3-9A24-0D518D8F673D}"/>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2308-44C3-9A24-0D518D8F673D}"/>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2308-44C3-9A24-0D518D8F673D}"/>
                </c:ext>
              </c:extLst>
            </c:dLbl>
            <c:dLbl>
              <c:idx val="4"/>
              <c:delete val="1"/>
              <c:extLst>
                <c:ext xmlns:c15="http://schemas.microsoft.com/office/drawing/2012/chart" uri="{CE6537A1-D6FC-4f65-9D91-7224C49458BB}"/>
                <c:ext xmlns:c16="http://schemas.microsoft.com/office/drawing/2014/chart" uri="{C3380CC4-5D6E-409C-BE32-E72D297353CC}">
                  <c16:uniqueId val="{00000009-2308-44C3-9A24-0D518D8F673D}"/>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'[1]Rev meters'!$C$36:$C$40</c:f>
              <c:numCache>
                <c:formatCode>General</c:formatCode>
                <c:ptCount val="5"/>
                <c:pt idx="0">
                  <c:v>0</c:v>
                </c:pt>
                <c:pt idx="1">
                  <c:v>58.517586531470243</c:v>
                </c:pt>
                <c:pt idx="2">
                  <c:v>7.8813805931687924</c:v>
                </c:pt>
                <c:pt idx="3">
                  <c:v>49.363794061698556</c:v>
                </c:pt>
                <c:pt idx="4">
                  <c:v>115</c:v>
                </c:pt>
              </c:numCache>
            </c:numRef>
          </c:val>
          <c:extLst>
            <c:ext xmlns:c16="http://schemas.microsoft.com/office/drawing/2014/chart" uri="{C3380CC4-5D6E-409C-BE32-E72D297353CC}">
              <c16:uniqueId val="{0000000A-2308-44C3-9A24-0D518D8F673D}"/>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'[1]Rev meters'!$D$35</c:f>
              <c:strCache>
                <c:ptCount val="1"/>
                <c:pt idx="0">
                  <c:v>Pointer</c:v>
                </c:pt>
              </c:strCache>
            </c:strRef>
          </c:tx>
          <c:dPt>
            <c:idx val="0"/>
            <c:bubble3D val="0"/>
            <c:spPr>
              <a:noFill/>
            </c:spPr>
            <c:extLst>
              <c:ext xmlns:c16="http://schemas.microsoft.com/office/drawing/2014/chart" uri="{C3380CC4-5D6E-409C-BE32-E72D297353CC}">
                <c16:uniqueId val="{0000000C-2308-44C3-9A24-0D518D8F673D}"/>
              </c:ext>
            </c:extLst>
          </c:dPt>
          <c:dPt>
            <c:idx val="1"/>
            <c:bubble3D val="0"/>
            <c:spPr>
              <a:solidFill>
                <a:schemeClr val="tx1"/>
              </a:solidFill>
            </c:spPr>
            <c:extLst>
              <c:ext xmlns:c16="http://schemas.microsoft.com/office/drawing/2014/chart" uri="{C3380CC4-5D6E-409C-BE32-E72D297353CC}">
                <c16:uniqueId val="{0000000E-2308-44C3-9A24-0D518D8F673D}"/>
              </c:ext>
            </c:extLst>
          </c:dPt>
          <c:dPt>
            <c:idx val="2"/>
            <c:bubble3D val="0"/>
            <c:spPr>
              <a:noFill/>
            </c:spPr>
            <c:extLst>
              <c:ext xmlns:c16="http://schemas.microsoft.com/office/drawing/2014/chart" uri="{C3380CC4-5D6E-409C-BE32-E72D297353CC}">
                <c16:uniqueId val="{00000010-2308-44C3-9A24-0D518D8F673D}"/>
              </c:ext>
            </c:extLst>
          </c:dPt>
          <c:val>
            <c:numRef>
              <c:f>'[1]Rev meters'!$F$36:$F$38</c:f>
              <c:numCache>
                <c:formatCode>General</c:formatCode>
                <c:ptCount val="3"/>
                <c:pt idx="0">
                  <c:v>49.363794061698556</c:v>
                </c:pt>
                <c:pt idx="1">
                  <c:v>1</c:v>
                </c:pt>
                <c:pt idx="2">
                  <c:v>149.63620593830143</c:v>
                </c:pt>
              </c:numCache>
            </c:numRef>
          </c:val>
          <c:extLst>
            <c:ext xmlns:c16="http://schemas.microsoft.com/office/drawing/2014/chart" uri="{C3380CC4-5D6E-409C-BE32-E72D297353CC}">
              <c16:uniqueId val="{00000011-2308-44C3-9A24-0D518D8F673D}"/>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Mieliewinsgewendheid</a:t>
            </a:r>
          </a:p>
        </c:rich>
      </c:tx>
      <c:overlay val="0"/>
    </c:title>
    <c:autoTitleDeleted val="0"/>
    <c:plotArea>
      <c:layout/>
      <c:doughnutChart>
        <c:varyColors val="1"/>
        <c:ser>
          <c:idx val="0"/>
          <c:order val="0"/>
          <c:tx>
            <c:strRef>
              <c:f>'[1]Rev meters'!$A$1</c:f>
              <c:strCache>
                <c:ptCount val="1"/>
                <c:pt idx="0">
                  <c:v>Winsgewendheid: Besproeiing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FB3-4FFB-92B3-24E860717FA3}"/>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FB3-4FFB-92B3-24E860717FA3}"/>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FB3-4FFB-92B3-24E860717FA3}"/>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FB3-4FFB-92B3-24E860717FA3}"/>
              </c:ext>
            </c:extLst>
          </c:dPt>
          <c:dPt>
            <c:idx val="4"/>
            <c:bubble3D val="0"/>
            <c:spPr>
              <a:noFill/>
              <a:ln>
                <a:noFill/>
              </a:ln>
              <a:effectLst/>
            </c:spPr>
            <c:extLst>
              <c:ext xmlns:c16="http://schemas.microsoft.com/office/drawing/2014/chart" uri="{C3380CC4-5D6E-409C-BE32-E72D297353CC}">
                <c16:uniqueId val="{00000009-DFB3-4FFB-92B3-24E860717FA3}"/>
              </c:ext>
            </c:extLst>
          </c:dPt>
          <c:dLbls>
            <c:dLbl>
              <c:idx val="0"/>
              <c:delete val="1"/>
              <c:extLst>
                <c:ext xmlns:c15="http://schemas.microsoft.com/office/drawing/2012/chart" uri="{CE6537A1-D6FC-4f65-9D91-7224C49458BB}"/>
                <c:ext xmlns:c16="http://schemas.microsoft.com/office/drawing/2014/chart" uri="{C3380CC4-5D6E-409C-BE32-E72D297353CC}">
                  <c16:uniqueId val="{00000001-DFB3-4FFB-92B3-24E860717FA3}"/>
                </c:ext>
              </c:extLst>
            </c:dLbl>
            <c:dLbl>
              <c:idx val="1"/>
              <c:tx>
                <c:rich>
                  <a:bodyPr/>
                  <a:lstStyle/>
                  <a:p>
                    <a:r>
                      <a:rPr lang="en-US" sz="1100">
                        <a:solidFill>
                          <a:schemeClr val="tx1"/>
                        </a:solidFill>
                      </a:rPr>
                      <a:t>Veranderlike</a:t>
                    </a:r>
                    <a:r>
                      <a:rPr lang="en-US" sz="1100" baseline="0">
                        <a:solidFill>
                          <a:schemeClr val="tx1"/>
                        </a:solidFill>
                      </a:rPr>
                      <a:t> koste</a:t>
                    </a:r>
                    <a:endParaRPr lang="en-US" sz="1100">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DFB3-4FFB-92B3-24E860717FA3}"/>
                </c:ext>
              </c:extLst>
            </c:dLbl>
            <c:dLbl>
              <c:idx val="2"/>
              <c:tx>
                <c:rich>
                  <a:bodyPr/>
                  <a:lstStyle/>
                  <a:p>
                    <a:r>
                      <a:rPr lang="en-US" sz="1100">
                        <a:solidFill>
                          <a:schemeClr val="tx1"/>
                        </a:solidFill>
                      </a:rPr>
                      <a:t>Vaste</a:t>
                    </a:r>
                    <a:r>
                      <a:rPr lang="en-US" sz="1100" baseline="0">
                        <a:solidFill>
                          <a:schemeClr val="tx1"/>
                        </a:solidFill>
                      </a:rPr>
                      <a:t> koste</a:t>
                    </a:r>
                    <a:endParaRPr lang="en-US" sz="1100">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DFB3-4FFB-92B3-24E860717FA3}"/>
                </c:ext>
              </c:extLst>
            </c:dLbl>
            <c:dLbl>
              <c:idx val="3"/>
              <c:tx>
                <c:rich>
                  <a:bodyPr/>
                  <a:lstStyle/>
                  <a:p>
                    <a:r>
                      <a:rPr lang="en-US" sz="1100">
                        <a:solidFill>
                          <a:schemeClr val="tx1"/>
                        </a:solidFill>
                      </a:rPr>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DFB3-4FFB-92B3-24E860717FA3}"/>
                </c:ext>
              </c:extLst>
            </c:dLbl>
            <c:dLbl>
              <c:idx val="4"/>
              <c:delete val="1"/>
              <c:extLst>
                <c:ext xmlns:c15="http://schemas.microsoft.com/office/drawing/2012/chart" uri="{CE6537A1-D6FC-4f65-9D91-7224C49458BB}"/>
                <c:ext xmlns:c16="http://schemas.microsoft.com/office/drawing/2014/chart" uri="{C3380CC4-5D6E-409C-BE32-E72D297353CC}">
                  <c16:uniqueId val="{00000009-DFB3-4FFB-92B3-24E860717FA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'[1]Rev meters'!$C$2:$C$6</c:f>
              <c:numCache>
                <c:formatCode>General</c:formatCode>
                <c:ptCount val="5"/>
                <c:pt idx="0">
                  <c:v>0</c:v>
                </c:pt>
                <c:pt idx="1">
                  <c:v>50.873252610805878</c:v>
                </c:pt>
                <c:pt idx="2">
                  <c:v>11.176678324090682</c:v>
                </c:pt>
                <c:pt idx="3">
                  <c:v>37.950069065103435</c:v>
                </c:pt>
                <c:pt idx="4">
                  <c:v>100</c:v>
                </c:pt>
              </c:numCache>
            </c:numRef>
          </c:val>
          <c:extLst>
            <c:ext xmlns:c16="http://schemas.microsoft.com/office/drawing/2014/chart" uri="{C3380CC4-5D6E-409C-BE32-E72D297353CC}">
              <c16:uniqueId val="{0000000A-DFB3-4FFB-92B3-24E860717FA3}"/>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'[1]Rev meters'!$D$1</c:f>
              <c:strCache>
                <c:ptCount val="1"/>
                <c:pt idx="0">
                  <c:v>Pointer</c:v>
                </c:pt>
              </c:strCache>
            </c:strRef>
          </c:tx>
          <c:dPt>
            <c:idx val="0"/>
            <c:bubble3D val="0"/>
            <c:spPr>
              <a:noFill/>
              <a:ln>
                <a:noFill/>
              </a:ln>
              <a:effectLst/>
            </c:spPr>
            <c:extLst>
              <c:ext xmlns:c16="http://schemas.microsoft.com/office/drawing/2014/chart" uri="{C3380CC4-5D6E-409C-BE32-E72D297353CC}">
                <c16:uniqueId val="{0000000C-DFB3-4FFB-92B3-24E860717FA3}"/>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DFB3-4FFB-92B3-24E860717FA3}"/>
              </c:ext>
            </c:extLst>
          </c:dPt>
          <c:dPt>
            <c:idx val="2"/>
            <c:bubble3D val="0"/>
            <c:spPr>
              <a:noFill/>
              <a:ln>
                <a:noFill/>
              </a:ln>
              <a:effectLst/>
            </c:spPr>
            <c:extLst>
              <c:ext xmlns:c16="http://schemas.microsoft.com/office/drawing/2014/chart" uri="{C3380CC4-5D6E-409C-BE32-E72D297353CC}">
                <c16:uniqueId val="{00000010-DFB3-4FFB-92B3-24E860717FA3}"/>
              </c:ext>
            </c:extLst>
          </c:dPt>
          <c:val>
            <c:numRef>
              <c:f>'[1]Rev meters'!$F$2:$F$4</c:f>
              <c:numCache>
                <c:formatCode>General</c:formatCode>
                <c:ptCount val="3"/>
                <c:pt idx="0">
                  <c:v>37.950069065103435</c:v>
                </c:pt>
                <c:pt idx="1">
                  <c:v>1</c:v>
                </c:pt>
                <c:pt idx="2">
                  <c:v>161.04993093489657</c:v>
                </c:pt>
              </c:numCache>
            </c:numRef>
          </c:val>
          <c:extLst>
            <c:ext xmlns:c16="http://schemas.microsoft.com/office/drawing/2014/chart" uri="{C3380CC4-5D6E-409C-BE32-E72D297353CC}">
              <c16:uniqueId val="{00000011-DFB3-4FFB-92B3-24E860717FA3}"/>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Sojabonewinsgewendheid</a:t>
            </a:r>
          </a:p>
        </c:rich>
      </c:tx>
      <c:overlay val="0"/>
    </c:title>
    <c:autoTitleDeleted val="0"/>
    <c:plotArea>
      <c:layout/>
      <c:doughnutChart>
        <c:varyColors val="1"/>
        <c:ser>
          <c:idx val="0"/>
          <c:order val="0"/>
          <c:tx>
            <c:strRef>
              <c:f>'[1]Rev meters'!$A$18</c:f>
              <c:strCache>
                <c:ptCount val="1"/>
                <c:pt idx="0">
                  <c:v>Winsgewendheid: Besproeiing Sojabone</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072-4B29-AE45-396072FC6030}"/>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072-4B29-AE45-396072FC6030}"/>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072-4B29-AE45-396072FC6030}"/>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072-4B29-AE45-396072FC6030}"/>
              </c:ext>
            </c:extLst>
          </c:dPt>
          <c:dPt>
            <c:idx val="4"/>
            <c:bubble3D val="0"/>
            <c:spPr>
              <a:noFill/>
              <a:ln>
                <a:noFill/>
              </a:ln>
              <a:effectLst/>
            </c:spPr>
            <c:extLst>
              <c:ext xmlns:c16="http://schemas.microsoft.com/office/drawing/2014/chart" uri="{C3380CC4-5D6E-409C-BE32-E72D297353CC}">
                <c16:uniqueId val="{00000009-B072-4B29-AE45-396072FC6030}"/>
              </c:ext>
            </c:extLst>
          </c:dPt>
          <c:dLbls>
            <c:dLbl>
              <c:idx val="0"/>
              <c:delete val="1"/>
              <c:extLst>
                <c:ext xmlns:c15="http://schemas.microsoft.com/office/drawing/2012/chart" uri="{CE6537A1-D6FC-4f65-9D91-7224C49458BB}"/>
                <c:ext xmlns:c16="http://schemas.microsoft.com/office/drawing/2014/chart" uri="{C3380CC4-5D6E-409C-BE32-E72D297353CC}">
                  <c16:uniqueId val="{00000001-B072-4B29-AE45-396072FC6030}"/>
                </c:ext>
              </c:extLst>
            </c:dLbl>
            <c:dLbl>
              <c:idx val="1"/>
              <c:tx>
                <c:rich>
                  <a:bodyPr/>
                  <a:lstStyle/>
                  <a:p>
                    <a:r>
                      <a:rPr lang="en-US"/>
                      <a:t>Veranderlike</a:t>
                    </a:r>
                    <a:r>
                      <a:rPr lang="en-US" baseline="0"/>
                      <a:t> koste</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72-4B29-AE45-396072FC6030}"/>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B072-4B29-AE45-396072FC6030}"/>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B072-4B29-AE45-396072FC6030}"/>
                </c:ext>
              </c:extLst>
            </c:dLbl>
            <c:dLbl>
              <c:idx val="4"/>
              <c:delete val="1"/>
              <c:extLst>
                <c:ext xmlns:c15="http://schemas.microsoft.com/office/drawing/2012/chart" uri="{CE6537A1-D6FC-4f65-9D91-7224C49458BB}"/>
                <c:ext xmlns:c16="http://schemas.microsoft.com/office/drawing/2014/chart" uri="{C3380CC4-5D6E-409C-BE32-E72D297353CC}">
                  <c16:uniqueId val="{00000009-B072-4B29-AE45-396072FC603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'[1]Rev meters'!$C$19:$C$23</c:f>
              <c:numCache>
                <c:formatCode>General</c:formatCode>
                <c:ptCount val="5"/>
                <c:pt idx="0">
                  <c:v>0</c:v>
                </c:pt>
                <c:pt idx="1">
                  <c:v>53.521065632133599</c:v>
                </c:pt>
                <c:pt idx="2">
                  <c:v>8.8606808106101607</c:v>
                </c:pt>
                <c:pt idx="3">
                  <c:v>37.618253557256239</c:v>
                </c:pt>
                <c:pt idx="4">
                  <c:v>100</c:v>
                </c:pt>
              </c:numCache>
            </c:numRef>
          </c:val>
          <c:extLst>
            <c:ext xmlns:c16="http://schemas.microsoft.com/office/drawing/2014/chart" uri="{C3380CC4-5D6E-409C-BE32-E72D297353CC}">
              <c16:uniqueId val="{0000000A-B072-4B29-AE45-396072FC6030}"/>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'[1]Rev meters'!$D$18</c:f>
              <c:strCache>
                <c:ptCount val="1"/>
                <c:pt idx="0">
                  <c:v>Pointer</c:v>
                </c:pt>
              </c:strCache>
            </c:strRef>
          </c:tx>
          <c:dPt>
            <c:idx val="0"/>
            <c:bubble3D val="0"/>
            <c:spPr>
              <a:noFill/>
              <a:ln>
                <a:noFill/>
              </a:ln>
              <a:effectLst/>
            </c:spPr>
            <c:extLst>
              <c:ext xmlns:c16="http://schemas.microsoft.com/office/drawing/2014/chart" uri="{C3380CC4-5D6E-409C-BE32-E72D297353CC}">
                <c16:uniqueId val="{0000000C-B072-4B29-AE45-396072FC6030}"/>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B072-4B29-AE45-396072FC6030}"/>
              </c:ext>
            </c:extLst>
          </c:dPt>
          <c:dPt>
            <c:idx val="2"/>
            <c:bubble3D val="0"/>
            <c:spPr>
              <a:noFill/>
              <a:ln>
                <a:noFill/>
              </a:ln>
              <a:effectLst/>
            </c:spPr>
            <c:extLst>
              <c:ext xmlns:c16="http://schemas.microsoft.com/office/drawing/2014/chart" uri="{C3380CC4-5D6E-409C-BE32-E72D297353CC}">
                <c16:uniqueId val="{00000010-B072-4B29-AE45-396072FC6030}"/>
              </c:ext>
            </c:extLst>
          </c:dPt>
          <c:val>
            <c:numRef>
              <c:f>'[1]Rev meters'!$F$19:$F$21</c:f>
              <c:numCache>
                <c:formatCode>General</c:formatCode>
                <c:ptCount val="3"/>
                <c:pt idx="0">
                  <c:v>37.618253557256239</c:v>
                </c:pt>
                <c:pt idx="1">
                  <c:v>1</c:v>
                </c:pt>
                <c:pt idx="2">
                  <c:v>161.38174644274375</c:v>
                </c:pt>
              </c:numCache>
            </c:numRef>
          </c:val>
          <c:extLst>
            <c:ext xmlns:c16="http://schemas.microsoft.com/office/drawing/2014/chart" uri="{C3380CC4-5D6E-409C-BE32-E72D297353CC}">
              <c16:uniqueId val="{00000011-B072-4B29-AE45-396072FC6030}"/>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Goundnuts profitability</a:t>
            </a:r>
          </a:p>
        </c:rich>
      </c:tx>
      <c:overlay val="0"/>
    </c:title>
    <c:autoTitleDeleted val="0"/>
    <c:plotArea>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51F-4A41-A3E6-B85BEAEE1B91}"/>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51F-4A41-A3E6-B85BEAEE1B91}"/>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451F-4A41-A3E6-B85BEAEE1B91}"/>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451F-4A41-A3E6-B85BEAEE1B91}"/>
              </c:ext>
            </c:extLst>
          </c:dPt>
          <c:dPt>
            <c:idx val="4"/>
            <c:bubble3D val="0"/>
            <c:spPr>
              <a:noFill/>
              <a:ln>
                <a:noFill/>
              </a:ln>
              <a:effectLst/>
            </c:spPr>
            <c:extLst>
              <c:ext xmlns:c16="http://schemas.microsoft.com/office/drawing/2014/chart" uri="{C3380CC4-5D6E-409C-BE32-E72D297353CC}">
                <c16:uniqueId val="{00000009-451F-4A41-A3E6-B85BEAEE1B91}"/>
              </c:ext>
            </c:extLst>
          </c:dPt>
          <c:dLbls>
            <c:dLbl>
              <c:idx val="0"/>
              <c:delete val="1"/>
              <c:extLst>
                <c:ext xmlns:c15="http://schemas.microsoft.com/office/drawing/2012/chart" uri="{CE6537A1-D6FC-4f65-9D91-7224C49458BB}"/>
                <c:ext xmlns:c16="http://schemas.microsoft.com/office/drawing/2014/chart" uri="{C3380CC4-5D6E-409C-BE32-E72D297353CC}">
                  <c16:uniqueId val="{00000001-451F-4A41-A3E6-B85BEAEE1B91}"/>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451F-4A41-A3E6-B85BEAEE1B91}"/>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451F-4A41-A3E6-B85BEAEE1B91}"/>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451F-4A41-A3E6-B85BEAEE1B91}"/>
                </c:ext>
              </c:extLst>
            </c:dLbl>
            <c:dLbl>
              <c:idx val="4"/>
              <c:delete val="1"/>
              <c:extLst>
                <c:ext xmlns:c15="http://schemas.microsoft.com/office/drawing/2012/chart" uri="{CE6537A1-D6FC-4f65-9D91-7224C49458BB}"/>
                <c:ext xmlns:c16="http://schemas.microsoft.com/office/drawing/2014/chart" uri="{C3380CC4-5D6E-409C-BE32-E72D297353CC}">
                  <c16:uniqueId val="{00000009-451F-4A41-A3E6-B85BEAEE1B91}"/>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'[1]Rev meters'!$C$36:$C$40</c:f>
              <c:numCache>
                <c:formatCode>General</c:formatCode>
                <c:ptCount val="5"/>
                <c:pt idx="0">
                  <c:v>0</c:v>
                </c:pt>
                <c:pt idx="1">
                  <c:v>58.517586531470243</c:v>
                </c:pt>
                <c:pt idx="2">
                  <c:v>7.8813805931687924</c:v>
                </c:pt>
                <c:pt idx="3">
                  <c:v>49.363794061698556</c:v>
                </c:pt>
                <c:pt idx="4">
                  <c:v>115</c:v>
                </c:pt>
              </c:numCache>
            </c:numRef>
          </c:val>
          <c:extLst>
            <c:ext xmlns:c15="http://schemas.microsoft.com/office/drawing/2012/chart" uri="{02D57815-91ED-43cb-92C2-25804820EDAC}">
              <c15:filteredSeriesTitle>
                <c15:tx>
                  <c:strRef>
                    <c:extLst>
                      <c:ext uri="{02D57815-91ED-43cb-92C2-25804820EDAC}">
                        <c15:formulaRef>
                          <c15:sqref>'[1]Rev meters'!$A$35</c15:sqref>
                        </c15:formulaRef>
                      </c:ext>
                    </c:extLst>
                    <c:strCache>
                      <c:ptCount val="1"/>
                      <c:pt idx="0">
                        <c:v>Winsgewendheid: Besproeiing Grondbone</c:v>
                      </c:pt>
                    </c:strCache>
                  </c:strRef>
                </c15:tx>
              </c15:filteredSeriesTitle>
            </c:ext>
            <c:ext xmlns:c16="http://schemas.microsoft.com/office/drawing/2014/chart" uri="{C3380CC4-5D6E-409C-BE32-E72D297353CC}">
              <c16:uniqueId val="{0000000A-451F-4A41-A3E6-B85BEAEE1B91}"/>
            </c:ext>
          </c:extLst>
        </c:ser>
        <c:dLbls>
          <c:showLegendKey val="0"/>
          <c:showVal val="0"/>
          <c:showCatName val="0"/>
          <c:showSerName val="0"/>
          <c:showPercent val="1"/>
          <c:showBubbleSize val="0"/>
          <c:showLeaderLines val="1"/>
        </c:dLbls>
        <c:firstSliceAng val="270"/>
        <c:holeSize val="50"/>
      </c:doughnutChart>
      <c:pieChart>
        <c:varyColors val="1"/>
        <c:ser>
          <c:idx val="1"/>
          <c:order val="1"/>
          <c:dPt>
            <c:idx val="0"/>
            <c:bubble3D val="0"/>
            <c:spPr>
              <a:noFill/>
            </c:spPr>
            <c:extLst>
              <c:ext xmlns:c16="http://schemas.microsoft.com/office/drawing/2014/chart" uri="{C3380CC4-5D6E-409C-BE32-E72D297353CC}">
                <c16:uniqueId val="{0000000C-451F-4A41-A3E6-B85BEAEE1B91}"/>
              </c:ext>
            </c:extLst>
          </c:dPt>
          <c:dPt>
            <c:idx val="1"/>
            <c:bubble3D val="0"/>
            <c:spPr>
              <a:solidFill>
                <a:schemeClr val="tx1"/>
              </a:solidFill>
            </c:spPr>
            <c:extLst>
              <c:ext xmlns:c16="http://schemas.microsoft.com/office/drawing/2014/chart" uri="{C3380CC4-5D6E-409C-BE32-E72D297353CC}">
                <c16:uniqueId val="{0000000E-451F-4A41-A3E6-B85BEAEE1B91}"/>
              </c:ext>
            </c:extLst>
          </c:dPt>
          <c:dPt>
            <c:idx val="2"/>
            <c:bubble3D val="0"/>
            <c:spPr>
              <a:noFill/>
            </c:spPr>
            <c:extLst>
              <c:ext xmlns:c16="http://schemas.microsoft.com/office/drawing/2014/chart" uri="{C3380CC4-5D6E-409C-BE32-E72D297353CC}">
                <c16:uniqueId val="{00000010-451F-4A41-A3E6-B85BEAEE1B91}"/>
              </c:ext>
            </c:extLst>
          </c:dPt>
          <c:val>
            <c:numRef>
              <c:f>'[1]Rev meters'!$F$36:$F$38</c:f>
              <c:numCache>
                <c:formatCode>General</c:formatCode>
                <c:ptCount val="3"/>
                <c:pt idx="0">
                  <c:v>49.363794061698556</c:v>
                </c:pt>
                <c:pt idx="1">
                  <c:v>1</c:v>
                </c:pt>
                <c:pt idx="2">
                  <c:v>149.63620593830143</c:v>
                </c:pt>
              </c:numCache>
            </c:numRef>
          </c:val>
          <c:extLst>
            <c:ext xmlns:c15="http://schemas.microsoft.com/office/drawing/2012/chart" uri="{02D57815-91ED-43cb-92C2-25804820EDAC}">
              <c15:filteredSeriesTitle>
                <c15:tx>
                  <c:strRef>
                    <c:extLst>
                      <c:ext uri="{02D57815-91ED-43cb-92C2-25804820EDAC}">
                        <c15:formulaRef>
                          <c15:sqref>'[1]Rev meters'!$D$35</c15:sqref>
                        </c15:formulaRef>
                      </c:ext>
                    </c:extLst>
                    <c:strCache>
                      <c:ptCount val="1"/>
                      <c:pt idx="0">
                        <c:v>Pointer</c:v>
                      </c:pt>
                    </c:strCache>
                  </c:strRef>
                </c15:tx>
              </c15:filteredSeriesTitle>
            </c:ext>
            <c:ext xmlns:c16="http://schemas.microsoft.com/office/drawing/2014/chart" uri="{C3380CC4-5D6E-409C-BE32-E72D297353CC}">
              <c16:uniqueId val="{00000011-451F-4A41-A3E6-B85BEAEE1B91}"/>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Maize Profitability</a:t>
            </a:r>
          </a:p>
        </c:rich>
      </c:tx>
      <c:overlay val="0"/>
    </c:title>
    <c:autoTitleDeleted val="0"/>
    <c:plotArea>
      <c:layout/>
      <c:doughnutChart>
        <c:varyColors val="1"/>
        <c:ser>
          <c:idx val="0"/>
          <c:order val="0"/>
          <c:tx>
            <c:strRef>
              <c:f>'[1]Rev meters'!$A$1</c:f>
              <c:strCache>
                <c:ptCount val="1"/>
                <c:pt idx="0">
                  <c:v>Winsgewendheid: Besproeiing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035-4C29-8950-FA326C758953}"/>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035-4C29-8950-FA326C758953}"/>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035-4C29-8950-FA326C758953}"/>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035-4C29-8950-FA326C758953}"/>
              </c:ext>
            </c:extLst>
          </c:dPt>
          <c:dPt>
            <c:idx val="4"/>
            <c:bubble3D val="0"/>
            <c:spPr>
              <a:noFill/>
              <a:ln>
                <a:noFill/>
              </a:ln>
              <a:effectLst/>
            </c:spPr>
            <c:extLst>
              <c:ext xmlns:c16="http://schemas.microsoft.com/office/drawing/2014/chart" uri="{C3380CC4-5D6E-409C-BE32-E72D297353CC}">
                <c16:uniqueId val="{00000009-A035-4C29-8950-FA326C758953}"/>
              </c:ext>
            </c:extLst>
          </c:dPt>
          <c:dLbls>
            <c:dLbl>
              <c:idx val="0"/>
              <c:delete val="1"/>
              <c:extLst>
                <c:ext xmlns:c15="http://schemas.microsoft.com/office/drawing/2012/chart" uri="{CE6537A1-D6FC-4f65-9D91-7224C49458BB}"/>
                <c:ext xmlns:c16="http://schemas.microsoft.com/office/drawing/2014/chart" uri="{C3380CC4-5D6E-409C-BE32-E72D297353CC}">
                  <c16:uniqueId val="{00000001-A035-4C29-8950-FA326C758953}"/>
                </c:ext>
              </c:extLst>
            </c:dLbl>
            <c:dLbl>
              <c:idx val="1"/>
              <c:tx>
                <c:rich>
                  <a:bodyPr/>
                  <a:lstStyle/>
                  <a:p>
                    <a:r>
                      <a:rPr lang="en-US" sz="1100">
                        <a:solidFill>
                          <a:schemeClr val="tx1"/>
                        </a:solidFill>
                      </a:rPr>
                      <a:t>Variable Costs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A035-4C29-8950-FA326C758953}"/>
                </c:ext>
              </c:extLst>
            </c:dLbl>
            <c:dLbl>
              <c:idx val="2"/>
              <c:tx>
                <c:rich>
                  <a:bodyPr/>
                  <a:lstStyle/>
                  <a:p>
                    <a:r>
                      <a:rPr lang="en-US" sz="1100">
                        <a:solidFill>
                          <a:schemeClr val="tx1"/>
                        </a:solidFill>
                      </a:rPr>
                      <a:t>Fixed Costs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A035-4C29-8950-FA326C758953}"/>
                </c:ext>
              </c:extLst>
            </c:dLbl>
            <c:dLbl>
              <c:idx val="3"/>
              <c:tx>
                <c:rich>
                  <a:bodyPr/>
                  <a:lstStyle/>
                  <a:p>
                    <a:r>
                      <a:rPr lang="en-US" sz="1100">
                        <a:solidFill>
                          <a:schemeClr val="tx1"/>
                        </a:solidFill>
                      </a:rPr>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A035-4C29-8950-FA326C758953}"/>
                </c:ext>
              </c:extLst>
            </c:dLbl>
            <c:dLbl>
              <c:idx val="4"/>
              <c:delete val="1"/>
              <c:extLst>
                <c:ext xmlns:c15="http://schemas.microsoft.com/office/drawing/2012/chart" uri="{CE6537A1-D6FC-4f65-9D91-7224C49458BB}"/>
                <c:ext xmlns:c16="http://schemas.microsoft.com/office/drawing/2014/chart" uri="{C3380CC4-5D6E-409C-BE32-E72D297353CC}">
                  <c16:uniqueId val="{00000009-A035-4C29-8950-FA326C75895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'[1]Rev meters'!$C$2:$C$6</c:f>
              <c:numCache>
                <c:formatCode>General</c:formatCode>
                <c:ptCount val="5"/>
                <c:pt idx="0">
                  <c:v>0</c:v>
                </c:pt>
                <c:pt idx="1">
                  <c:v>50.873252610805878</c:v>
                </c:pt>
                <c:pt idx="2">
                  <c:v>11.176678324090682</c:v>
                </c:pt>
                <c:pt idx="3">
                  <c:v>37.950069065103435</c:v>
                </c:pt>
                <c:pt idx="4">
                  <c:v>100</c:v>
                </c:pt>
              </c:numCache>
            </c:numRef>
          </c:val>
          <c:extLst>
            <c:ext xmlns:c16="http://schemas.microsoft.com/office/drawing/2014/chart" uri="{C3380CC4-5D6E-409C-BE32-E72D297353CC}">
              <c16:uniqueId val="{0000000A-A035-4C29-8950-FA326C758953}"/>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'[1]Rev meters'!$D$1</c:f>
              <c:strCache>
                <c:ptCount val="1"/>
                <c:pt idx="0">
                  <c:v>Pointer</c:v>
                </c:pt>
              </c:strCache>
            </c:strRef>
          </c:tx>
          <c:dPt>
            <c:idx val="0"/>
            <c:bubble3D val="0"/>
            <c:spPr>
              <a:noFill/>
              <a:ln>
                <a:noFill/>
              </a:ln>
              <a:effectLst/>
            </c:spPr>
            <c:extLst>
              <c:ext xmlns:c16="http://schemas.microsoft.com/office/drawing/2014/chart" uri="{C3380CC4-5D6E-409C-BE32-E72D297353CC}">
                <c16:uniqueId val="{0000000C-A035-4C29-8950-FA326C758953}"/>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A035-4C29-8950-FA326C758953}"/>
              </c:ext>
            </c:extLst>
          </c:dPt>
          <c:dPt>
            <c:idx val="2"/>
            <c:bubble3D val="0"/>
            <c:spPr>
              <a:noFill/>
              <a:ln>
                <a:noFill/>
              </a:ln>
              <a:effectLst/>
            </c:spPr>
            <c:extLst>
              <c:ext xmlns:c16="http://schemas.microsoft.com/office/drawing/2014/chart" uri="{C3380CC4-5D6E-409C-BE32-E72D297353CC}">
                <c16:uniqueId val="{00000010-A035-4C29-8950-FA326C758953}"/>
              </c:ext>
            </c:extLst>
          </c:dPt>
          <c:val>
            <c:numRef>
              <c:f>'[1]Rev meters'!$F$2:$F$4</c:f>
              <c:numCache>
                <c:formatCode>General</c:formatCode>
                <c:ptCount val="3"/>
                <c:pt idx="0">
                  <c:v>37.950069065103435</c:v>
                </c:pt>
                <c:pt idx="1">
                  <c:v>1</c:v>
                </c:pt>
                <c:pt idx="2">
                  <c:v>161.04993093489657</c:v>
                </c:pt>
              </c:numCache>
            </c:numRef>
          </c:val>
          <c:extLst>
            <c:ext xmlns:c16="http://schemas.microsoft.com/office/drawing/2014/chart" uri="{C3380CC4-5D6E-409C-BE32-E72D297353CC}">
              <c16:uniqueId val="{00000011-A035-4C29-8950-FA326C758953}"/>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xdr:col>
      <xdr:colOff>1005418</xdr:colOff>
      <xdr:row>3</xdr:row>
      <xdr:rowOff>63499</xdr:rowOff>
    </xdr:from>
    <xdr:to>
      <xdr:col>3</xdr:col>
      <xdr:colOff>440203</xdr:colOff>
      <xdr:row>8</xdr:row>
      <xdr:rowOff>98761</xdr:rowOff>
    </xdr:to>
    <xdr:pic>
      <xdr:nvPicPr>
        <xdr:cNvPr id="2" name="Picture 1" descr="GrainSA - YouTube">
          <a:extLst>
            <a:ext uri="{FF2B5EF4-FFF2-40B4-BE49-F238E27FC236}">
              <a16:creationId xmlns:a16="http://schemas.microsoft.com/office/drawing/2014/main" id="{2B112A7E-EE7D-4963-ADD2-B0098620F6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3751" y="920749"/>
          <a:ext cx="983762" cy="885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43</xdr:row>
      <xdr:rowOff>0</xdr:rowOff>
    </xdr:from>
    <xdr:to>
      <xdr:col>0</xdr:col>
      <xdr:colOff>800100</xdr:colOff>
      <xdr:row>47</xdr:row>
      <xdr:rowOff>15240</xdr:rowOff>
    </xdr:to>
    <xdr:pic>
      <xdr:nvPicPr>
        <xdr:cNvPr id="19321" name="Picture 3" descr="http://www.maizetrust.co.za/images/masthead.jpg">
          <a:extLst>
            <a:ext uri="{FF2B5EF4-FFF2-40B4-BE49-F238E27FC236}">
              <a16:creationId xmlns:a16="http://schemas.microsoft.com/office/drawing/2014/main" id="{D61A46B9-D684-3E19-F6B8-A66CE2188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2420"/>
          <a:ext cx="8001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560295</xdr:colOff>
      <xdr:row>0</xdr:row>
      <xdr:rowOff>100853</xdr:rowOff>
    </xdr:from>
    <xdr:to>
      <xdr:col>9</xdr:col>
      <xdr:colOff>20057</xdr:colOff>
      <xdr:row>3</xdr:row>
      <xdr:rowOff>15490</xdr:rowOff>
    </xdr:to>
    <xdr:pic>
      <xdr:nvPicPr>
        <xdr:cNvPr id="2" name="Picture 1" descr="GrainSA - YouTube">
          <a:extLst>
            <a:ext uri="{FF2B5EF4-FFF2-40B4-BE49-F238E27FC236}">
              <a16:creationId xmlns:a16="http://schemas.microsoft.com/office/drawing/2014/main" id="{94B8CACB-24FA-4624-94CF-FD6849D7074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5824" y="100853"/>
          <a:ext cx="976142" cy="88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966107</xdr:colOff>
      <xdr:row>0</xdr:row>
      <xdr:rowOff>95250</xdr:rowOff>
    </xdr:from>
    <xdr:to>
      <xdr:col>8</xdr:col>
      <xdr:colOff>951105</xdr:colOff>
      <xdr:row>3</xdr:row>
      <xdr:rowOff>18692</xdr:rowOff>
    </xdr:to>
    <xdr:pic>
      <xdr:nvPicPr>
        <xdr:cNvPr id="2" name="Picture 1" descr="GrainSA - YouTube">
          <a:extLst>
            <a:ext uri="{FF2B5EF4-FFF2-40B4-BE49-F238E27FC236}">
              <a16:creationId xmlns:a16="http://schemas.microsoft.com/office/drawing/2014/main" id="{408CE9E1-A3B9-4491-8C5A-24DD8BB06B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4357" y="95250"/>
          <a:ext cx="974237" cy="885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188258</xdr:colOff>
      <xdr:row>0</xdr:row>
      <xdr:rowOff>0</xdr:rowOff>
    </xdr:from>
    <xdr:to>
      <xdr:col>8</xdr:col>
      <xdr:colOff>553566</xdr:colOff>
      <xdr:row>2</xdr:row>
      <xdr:rowOff>57961</xdr:rowOff>
    </xdr:to>
    <xdr:pic>
      <xdr:nvPicPr>
        <xdr:cNvPr id="2" name="Picture 1" descr="GrainSA - YouTube">
          <a:extLst>
            <a:ext uri="{FF2B5EF4-FFF2-40B4-BE49-F238E27FC236}">
              <a16:creationId xmlns:a16="http://schemas.microsoft.com/office/drawing/2014/main" id="{A9E7DF4A-72F4-4BB1-89CB-61B310142B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1034" y="0"/>
          <a:ext cx="967288" cy="885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36</xdr:row>
      <xdr:rowOff>699246</xdr:rowOff>
    </xdr:from>
    <xdr:to>
      <xdr:col>4</xdr:col>
      <xdr:colOff>8964</xdr:colOff>
      <xdr:row>55</xdr:row>
      <xdr:rowOff>116541</xdr:rowOff>
    </xdr:to>
    <xdr:graphicFrame macro="">
      <xdr:nvGraphicFramePr>
        <xdr:cNvPr id="135213" name="Chart 1">
          <a:extLst>
            <a:ext uri="{FF2B5EF4-FFF2-40B4-BE49-F238E27FC236}">
              <a16:creationId xmlns:a16="http://schemas.microsoft.com/office/drawing/2014/main" id="{28C0AC86-D0AB-31E9-B9FA-CBEF4D0E4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109146</xdr:colOff>
      <xdr:row>0</xdr:row>
      <xdr:rowOff>171001</xdr:rowOff>
    </xdr:from>
    <xdr:to>
      <xdr:col>5</xdr:col>
      <xdr:colOff>474455</xdr:colOff>
      <xdr:row>5</xdr:row>
      <xdr:rowOff>172931</xdr:rowOff>
    </xdr:to>
    <xdr:pic>
      <xdr:nvPicPr>
        <xdr:cNvPr id="2" name="Picture 1" descr="GrainSA - YouTube">
          <a:extLst>
            <a:ext uri="{FF2B5EF4-FFF2-40B4-BE49-F238E27FC236}">
              <a16:creationId xmlns:a16="http://schemas.microsoft.com/office/drawing/2014/main" id="{0928C056-6EB7-4260-8E34-6912A97F3B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74840" y="171001"/>
          <a:ext cx="974909" cy="886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49026</xdr:colOff>
      <xdr:row>19</xdr:row>
      <xdr:rowOff>162334</xdr:rowOff>
    </xdr:from>
    <xdr:to>
      <xdr:col>18</xdr:col>
      <xdr:colOff>156239</xdr:colOff>
      <xdr:row>38</xdr:row>
      <xdr:rowOff>116406</xdr:rowOff>
    </xdr:to>
    <xdr:graphicFrame macro="">
      <xdr:nvGraphicFramePr>
        <xdr:cNvPr id="12" name="Chart 3">
          <a:extLst>
            <a:ext uri="{FF2B5EF4-FFF2-40B4-BE49-F238E27FC236}">
              <a16:creationId xmlns:a16="http://schemas.microsoft.com/office/drawing/2014/main" id="{943929EB-407F-405A-9D83-0DA668ED74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203360</xdr:colOff>
      <xdr:row>40</xdr:row>
      <xdr:rowOff>48505</xdr:rowOff>
    </xdr:from>
    <xdr:to>
      <xdr:col>29</xdr:col>
      <xdr:colOff>292793</xdr:colOff>
      <xdr:row>60</xdr:row>
      <xdr:rowOff>110506</xdr:rowOff>
    </xdr:to>
    <xdr:graphicFrame macro="">
      <xdr:nvGraphicFramePr>
        <xdr:cNvPr id="13" name="Chart 4">
          <a:extLst>
            <a:ext uri="{FF2B5EF4-FFF2-40B4-BE49-F238E27FC236}">
              <a16:creationId xmlns:a16="http://schemas.microsoft.com/office/drawing/2014/main" id="{3DC2AEA4-35CC-4E2B-BC59-3ADF83DC3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130161</xdr:colOff>
      <xdr:row>1</xdr:row>
      <xdr:rowOff>0</xdr:rowOff>
    </xdr:from>
    <xdr:to>
      <xdr:col>29</xdr:col>
      <xdr:colOff>280683</xdr:colOff>
      <xdr:row>18</xdr:row>
      <xdr:rowOff>156200</xdr:rowOff>
    </xdr:to>
    <xdr:graphicFrame macro="">
      <xdr:nvGraphicFramePr>
        <xdr:cNvPr id="14" name="Chart 1">
          <a:extLst>
            <a:ext uri="{FF2B5EF4-FFF2-40B4-BE49-F238E27FC236}">
              <a16:creationId xmlns:a16="http://schemas.microsoft.com/office/drawing/2014/main" id="{167E2C34-C32C-406A-871E-C90147A38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198831</xdr:colOff>
      <xdr:row>19</xdr:row>
      <xdr:rowOff>150058</xdr:rowOff>
    </xdr:from>
    <xdr:to>
      <xdr:col>29</xdr:col>
      <xdr:colOff>317473</xdr:colOff>
      <xdr:row>38</xdr:row>
      <xdr:rowOff>104130</xdr:rowOff>
    </xdr:to>
    <xdr:graphicFrame macro="">
      <xdr:nvGraphicFramePr>
        <xdr:cNvPr id="15" name="Chart 3">
          <a:extLst>
            <a:ext uri="{FF2B5EF4-FFF2-40B4-BE49-F238E27FC236}">
              <a16:creationId xmlns:a16="http://schemas.microsoft.com/office/drawing/2014/main" id="{8F6B9332-35F0-4B09-9DF8-C289206C7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573404</xdr:colOff>
      <xdr:row>40</xdr:row>
      <xdr:rowOff>25309</xdr:rowOff>
    </xdr:from>
    <xdr:to>
      <xdr:col>18</xdr:col>
      <xdr:colOff>56231</xdr:colOff>
      <xdr:row>60</xdr:row>
      <xdr:rowOff>89215</xdr:rowOff>
    </xdr:to>
    <xdr:graphicFrame macro="">
      <xdr:nvGraphicFramePr>
        <xdr:cNvPr id="6" name="Chart 4">
          <a:extLst>
            <a:ext uri="{FF2B5EF4-FFF2-40B4-BE49-F238E27FC236}">
              <a16:creationId xmlns:a16="http://schemas.microsoft.com/office/drawing/2014/main" id="{F37BA0F4-2E98-4D9B-8BE0-1D2691064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38100</xdr:colOff>
      <xdr:row>0</xdr:row>
      <xdr:rowOff>76200</xdr:rowOff>
    </xdr:from>
    <xdr:to>
      <xdr:col>18</xdr:col>
      <xdr:colOff>188622</xdr:colOff>
      <xdr:row>18</xdr:row>
      <xdr:rowOff>60950</xdr:rowOff>
    </xdr:to>
    <xdr:graphicFrame macro="">
      <xdr:nvGraphicFramePr>
        <xdr:cNvPr id="2" name="Chart 1">
          <a:extLst>
            <a:ext uri="{FF2B5EF4-FFF2-40B4-BE49-F238E27FC236}">
              <a16:creationId xmlns:a16="http://schemas.microsoft.com/office/drawing/2014/main" id="{D7F6D264-6358-431E-B3B8-C6EF35B8A66E}"/>
            </a:ext>
            <a:ext uri="{147F2762-F138-4A5C-976F-8EAC2B608ADB}">
              <a16:predDERef xmlns:a16="http://schemas.microsoft.com/office/drawing/2014/main" pred="{F37BA0F4-2E98-4D9B-8BE0-1D2691064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dryfsbediening/Shared%20Documents/Produksie/Produksie%20Begrotings/Somer%20gewas%20streke/Somer%20modelle/2026-27/Grain%20SA%202026-2027%20Noordkaap%20besproei%20model.xlsx" TargetMode="External"/><Relationship Id="rId2" Type="http://schemas.openxmlformats.org/officeDocument/2006/relationships/externalLinkPath" Target="https://grainsa2019.sharepoint.com/sites/Bedryfsbediening/Shared%20Documents/Produksie/Produksie%20Begrotings/Somer%20gewas%20streke/Somer%20modelle/2026-27/Grain%20SA%202026-2027%20Noordkaap%20besproei%20model.xlsx" TargetMode="External"/><Relationship Id="rId1" Type="http://schemas.openxmlformats.org/officeDocument/2006/relationships/externalLinkPath" Target="/sites/Bedryfsbediening/Shared%20Documents/Produksie/Produksie%20Begrotings/Somer%20gewas%20streke/Somer%20modelle/2026-27/Grain%20SA%202026-2027%20Noordkaap%20besproei%20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edprices"/>
      <sheetName val="Price sheet "/>
      <sheetName val="Crops planted"/>
      <sheetName val="Inventarus "/>
      <sheetName val="Laste"/>
      <sheetName val="vaste koste"/>
      <sheetName val="Bes-mielies"/>
      <sheetName val="Bes-soja (vermin bewerk)"/>
      <sheetName val="Bes-Grondbone"/>
      <sheetName val="Crop Comparison"/>
      <sheetName val="Rev meters"/>
      <sheetName val="Rent calculations"/>
    </sheetNames>
    <sheetDataSet>
      <sheetData sheetId="0"/>
      <sheetData sheetId="1"/>
      <sheetData sheetId="2"/>
      <sheetData sheetId="3"/>
      <sheetData sheetId="4"/>
      <sheetData sheetId="5"/>
      <sheetData sheetId="6"/>
      <sheetData sheetId="7"/>
      <sheetData sheetId="8"/>
      <sheetData sheetId="9"/>
      <sheetData sheetId="10">
        <row r="1">
          <cell r="A1" t="str">
            <v>Winsgewendheid: Besproeiing Mielies</v>
          </cell>
          <cell r="D1" t="str">
            <v>Pointer</v>
          </cell>
        </row>
        <row r="2">
          <cell r="C2">
            <v>0</v>
          </cell>
          <cell r="F2">
            <v>37.950069065103435</v>
          </cell>
        </row>
        <row r="3">
          <cell r="C3">
            <v>50.873252610805878</v>
          </cell>
          <cell r="F3">
            <v>1</v>
          </cell>
        </row>
        <row r="4">
          <cell r="C4">
            <v>11.176678324090682</v>
          </cell>
          <cell r="F4">
            <v>161.04993093489657</v>
          </cell>
        </row>
        <row r="5">
          <cell r="C5">
            <v>37.950069065103435</v>
          </cell>
        </row>
        <row r="6">
          <cell r="C6">
            <v>100</v>
          </cell>
        </row>
        <row r="18">
          <cell r="A18" t="str">
            <v>Winsgewendheid: Besproeiing Sojabone</v>
          </cell>
          <cell r="D18" t="str">
            <v>Pointer</v>
          </cell>
        </row>
        <row r="19">
          <cell r="C19">
            <v>0</v>
          </cell>
          <cell r="F19">
            <v>37.618253557256239</v>
          </cell>
        </row>
        <row r="20">
          <cell r="C20">
            <v>53.521065632133599</v>
          </cell>
          <cell r="F20">
            <v>1</v>
          </cell>
        </row>
        <row r="21">
          <cell r="C21">
            <v>8.8606808106101607</v>
          </cell>
          <cell r="F21">
            <v>161.38174644274375</v>
          </cell>
        </row>
        <row r="22">
          <cell r="C22">
            <v>37.618253557256239</v>
          </cell>
        </row>
        <row r="23">
          <cell r="C23">
            <v>100</v>
          </cell>
        </row>
        <row r="35">
          <cell r="A35" t="str">
            <v>Winsgewendheid: Besproeiing Grondbone</v>
          </cell>
          <cell r="D35" t="str">
            <v>Pointer</v>
          </cell>
        </row>
        <row r="36">
          <cell r="C36">
            <v>0</v>
          </cell>
          <cell r="F36">
            <v>49.363794061698556</v>
          </cell>
        </row>
        <row r="37">
          <cell r="C37">
            <v>58.517586531470243</v>
          </cell>
          <cell r="F37">
            <v>1</v>
          </cell>
        </row>
        <row r="38">
          <cell r="C38">
            <v>7.8813805931687924</v>
          </cell>
          <cell r="F38">
            <v>149.63620593830143</v>
          </cell>
        </row>
        <row r="39">
          <cell r="C39">
            <v>49.363794061698556</v>
          </cell>
        </row>
        <row r="40">
          <cell r="C40">
            <v>115</v>
          </cell>
        </row>
      </sheetData>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93AFE-0975-47F7-96EE-592A5E0401DD}" name="Table1" displayName="Table1" ref="A1:D35" totalsRowShown="0">
  <autoFilter ref="A1:D35" xr:uid="{17A93AFE-0975-47F7-96EE-592A5E0401DD}">
    <filterColumn colId="0" hiddenButton="1"/>
    <filterColumn colId="1" hiddenButton="1"/>
    <filterColumn colId="2" hiddenButton="1"/>
    <filterColumn colId="3" hiddenButton="1"/>
  </autoFilter>
  <tableColumns count="4">
    <tableColumn id="1" xr3:uid="{A0CBC1E7-C396-4EF9-8DA2-C126CFD340C6}" name="NORTHERN CAPE INCOME &amp; COST BUDGETS - SUMMER CROPS 2026/27" dataDxfId="16"/>
    <tableColumn id="2" xr3:uid="{C41979CA-CCE2-4CFC-AEA2-5AC33D9F5D4E}" name="Column1"/>
    <tableColumn id="3" xr3:uid="{00B5D465-8544-4569-ABF6-7F5D8EFE326A}" name="Column2"/>
    <tableColumn id="4" xr3:uid="{80D90AE1-CFC8-4277-B8E3-28B5F1CBBD39}" name="Column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7"/>
  <sheetViews>
    <sheetView tabSelected="1" zoomScale="90" zoomScaleNormal="90" workbookViewId="0">
      <selection activeCell="F40" sqref="F40"/>
    </sheetView>
  </sheetViews>
  <sheetFormatPr defaultColWidth="9.109375" defaultRowHeight="13.2" x14ac:dyDescent="0.25"/>
  <cols>
    <col min="1" max="1" width="52.44140625" style="142" customWidth="1"/>
    <col min="2" max="2" width="19.109375" style="142" bestFit="1" customWidth="1"/>
    <col min="3" max="3" width="3.33203125" style="142" customWidth="1"/>
    <col min="4" max="4" width="23.6640625" style="24" customWidth="1"/>
    <col min="5" max="12" width="10.6640625" style="24" customWidth="1"/>
    <col min="13" max="15" width="9.109375" style="24"/>
    <col min="16" max="16" width="22.6640625" style="24" customWidth="1"/>
    <col min="17" max="17" width="11.6640625" style="24" customWidth="1"/>
    <col min="18" max="26" width="9.44140625" style="24" customWidth="1"/>
    <col min="27" max="16384" width="9.109375" style="24"/>
  </cols>
  <sheetData>
    <row r="1" spans="1:26" s="143" customFormat="1" ht="28.5" customHeight="1" x14ac:dyDescent="0.4">
      <c r="A1" s="147" t="s">
        <v>0</v>
      </c>
      <c r="B1" s="155" t="s">
        <v>1</v>
      </c>
      <c r="C1" s="142"/>
      <c r="D1" s="142"/>
      <c r="E1" s="142"/>
      <c r="F1" s="142"/>
      <c r="G1" s="142"/>
      <c r="H1" s="142"/>
      <c r="I1" s="142"/>
      <c r="J1" s="142"/>
      <c r="K1" s="142"/>
      <c r="L1" s="142"/>
      <c r="M1" s="142"/>
      <c r="N1" s="142"/>
    </row>
    <row r="2" spans="1:26" s="143" customFormat="1" ht="13.5" customHeight="1" x14ac:dyDescent="0.3">
      <c r="A2" s="144" t="s">
        <v>2</v>
      </c>
      <c r="B2" s="148">
        <v>46238</v>
      </c>
      <c r="C2" s="142"/>
      <c r="D2" s="142"/>
      <c r="E2" s="142"/>
      <c r="F2" s="144"/>
      <c r="G2" s="145"/>
      <c r="H2" s="142"/>
      <c r="I2" s="142"/>
      <c r="J2" s="142"/>
      <c r="K2" s="142"/>
      <c r="L2" s="142"/>
      <c r="M2" s="142"/>
      <c r="N2" s="142"/>
    </row>
    <row r="3" spans="1:26" s="143" customFormat="1" ht="26.25" customHeight="1" x14ac:dyDescent="0.3">
      <c r="A3" s="163" t="s">
        <v>3</v>
      </c>
      <c r="B3" s="164" t="s">
        <v>4</v>
      </c>
      <c r="C3" s="142"/>
      <c r="D3" s="164" t="s">
        <v>5</v>
      </c>
      <c r="E3" s="142"/>
      <c r="F3" s="144"/>
      <c r="G3" s="145"/>
      <c r="H3" s="142"/>
      <c r="I3" s="142"/>
      <c r="J3" s="142"/>
      <c r="K3" s="142"/>
      <c r="L3" s="142"/>
    </row>
    <row r="4" spans="1:26" s="143" customFormat="1" ht="13.5" customHeight="1" x14ac:dyDescent="0.3">
      <c r="A4" s="212" t="s">
        <v>6</v>
      </c>
      <c r="B4" s="146">
        <v>3800</v>
      </c>
      <c r="C4" s="149"/>
      <c r="D4" s="146">
        <v>560</v>
      </c>
      <c r="E4" s="142"/>
      <c r="F4" s="144"/>
      <c r="G4" s="145"/>
      <c r="H4" s="142"/>
      <c r="I4" s="142"/>
      <c r="J4" s="142"/>
      <c r="K4" s="142"/>
      <c r="L4" s="142"/>
    </row>
    <row r="5" spans="1:26" s="143" customFormat="1" ht="13.5" customHeight="1" x14ac:dyDescent="0.3">
      <c r="A5" s="212" t="s">
        <v>7</v>
      </c>
      <c r="B5" s="146">
        <v>7900</v>
      </c>
      <c r="C5" s="149"/>
      <c r="D5" s="146">
        <v>204</v>
      </c>
      <c r="E5" s="142"/>
      <c r="F5" s="144"/>
      <c r="G5" s="145"/>
      <c r="H5" s="142"/>
      <c r="I5" s="142"/>
      <c r="J5" s="142"/>
      <c r="K5" s="142"/>
      <c r="L5" s="142"/>
      <c r="M5" s="142"/>
      <c r="N5" s="142"/>
    </row>
    <row r="6" spans="1:26" s="143" customFormat="1" ht="13.5" customHeight="1" x14ac:dyDescent="0.3">
      <c r="A6" s="241" t="s">
        <v>8</v>
      </c>
      <c r="B6" s="146">
        <v>21767</v>
      </c>
      <c r="C6" s="149"/>
      <c r="D6" s="146">
        <v>63</v>
      </c>
      <c r="E6" s="142"/>
      <c r="F6" s="144"/>
      <c r="G6" s="145"/>
      <c r="H6" s="142"/>
      <c r="I6" s="142"/>
      <c r="J6" s="142"/>
      <c r="K6" s="142"/>
      <c r="L6" s="142"/>
      <c r="M6" s="142"/>
      <c r="N6" s="142"/>
    </row>
    <row r="7" spans="1:26" s="143" customFormat="1" ht="13.5" customHeight="1" x14ac:dyDescent="0.3">
      <c r="A7" s="241" t="s">
        <v>9</v>
      </c>
      <c r="B7" s="146">
        <v>18150</v>
      </c>
      <c r="C7" s="149"/>
      <c r="D7" s="146">
        <v>63</v>
      </c>
      <c r="E7" s="142"/>
      <c r="F7" s="144"/>
      <c r="G7" s="145"/>
      <c r="H7" s="142"/>
      <c r="I7" s="142"/>
      <c r="J7" s="142"/>
      <c r="K7" s="142"/>
      <c r="L7" s="142"/>
      <c r="M7" s="142"/>
      <c r="N7" s="142"/>
    </row>
    <row r="8" spans="1:26" s="143" customFormat="1" ht="13.5" customHeight="1" x14ac:dyDescent="0.3">
      <c r="A8" s="241" t="s">
        <v>10</v>
      </c>
      <c r="B8" s="146">
        <v>16083</v>
      </c>
      <c r="C8" s="149"/>
      <c r="D8" s="146">
        <v>63</v>
      </c>
      <c r="E8" s="142"/>
      <c r="F8" s="144"/>
      <c r="G8" s="145"/>
      <c r="H8" s="142"/>
      <c r="I8" s="142"/>
      <c r="J8" s="142"/>
      <c r="K8" s="142"/>
      <c r="L8" s="142"/>
      <c r="M8" s="142"/>
      <c r="N8" s="142"/>
    </row>
    <row r="9" spans="1:26" s="143" customFormat="1" ht="13.5" customHeight="1" x14ac:dyDescent="0.3">
      <c r="A9" s="241" t="s">
        <v>11</v>
      </c>
      <c r="B9" s="146">
        <v>5467</v>
      </c>
      <c r="C9" s="149"/>
      <c r="D9" s="146">
        <v>63</v>
      </c>
      <c r="E9" s="142"/>
      <c r="F9" s="144"/>
      <c r="G9" s="145"/>
      <c r="H9" s="142"/>
      <c r="I9" s="142"/>
      <c r="J9" s="142"/>
      <c r="K9" s="142"/>
      <c r="L9" s="142"/>
      <c r="M9" s="142"/>
      <c r="N9" s="142"/>
    </row>
    <row r="10" spans="1:26" s="143" customFormat="1" ht="13.5" customHeight="1" x14ac:dyDescent="0.3">
      <c r="A10" s="241" t="s">
        <v>12</v>
      </c>
      <c r="B10" s="146">
        <v>3517</v>
      </c>
      <c r="C10" s="142"/>
      <c r="D10" s="146">
        <v>63</v>
      </c>
      <c r="E10" s="142"/>
      <c r="F10" s="142"/>
      <c r="G10" s="142"/>
      <c r="H10" s="142"/>
      <c r="I10" s="142"/>
      <c r="J10" s="142"/>
      <c r="K10" s="142"/>
      <c r="L10" s="142"/>
      <c r="M10" s="142"/>
      <c r="N10" s="142"/>
    </row>
    <row r="11" spans="1:26" s="143" customFormat="1" ht="13.5" customHeight="1" x14ac:dyDescent="0.3">
      <c r="A11" s="241" t="s">
        <v>13</v>
      </c>
      <c r="B11" s="146"/>
      <c r="C11" s="142"/>
      <c r="D11" s="142"/>
      <c r="E11" s="142"/>
      <c r="F11" s="142"/>
      <c r="G11" s="142"/>
      <c r="H11" s="142"/>
      <c r="I11" s="142"/>
      <c r="J11" s="142"/>
      <c r="K11" s="142"/>
      <c r="L11" s="142"/>
      <c r="M11" s="142"/>
      <c r="N11" s="142"/>
    </row>
    <row r="12" spans="1:26" s="25" customFormat="1" ht="13.5" customHeight="1" thickBot="1" x14ac:dyDescent="0.35">
      <c r="A12" s="258"/>
      <c r="B12" s="258"/>
      <c r="C12" s="142"/>
      <c r="D12" s="24"/>
      <c r="E12" s="24"/>
      <c r="F12" s="24"/>
      <c r="G12" s="24"/>
      <c r="H12" s="24"/>
      <c r="I12" s="24"/>
      <c r="J12" s="24"/>
      <c r="K12" s="24"/>
      <c r="L12" s="24"/>
      <c r="M12" s="24"/>
      <c r="N12" s="24"/>
    </row>
    <row r="13" spans="1:26" ht="20.25" customHeight="1" thickBot="1" x14ac:dyDescent="0.3">
      <c r="A13" s="266" t="s">
        <v>14</v>
      </c>
      <c r="B13" s="266"/>
      <c r="C13" s="150"/>
      <c r="D13" s="260" t="s">
        <v>15</v>
      </c>
      <c r="E13" s="261"/>
      <c r="F13" s="261"/>
      <c r="G13" s="261"/>
      <c r="H13" s="261"/>
      <c r="I13" s="261"/>
      <c r="J13" s="261"/>
      <c r="K13" s="261"/>
      <c r="L13" s="261"/>
      <c r="M13" s="261"/>
      <c r="N13" s="262"/>
      <c r="P13" s="260" t="s">
        <v>16</v>
      </c>
      <c r="Q13" s="261"/>
      <c r="R13" s="261"/>
      <c r="S13" s="261"/>
      <c r="T13" s="261"/>
      <c r="U13" s="261"/>
      <c r="V13" s="261"/>
      <c r="W13" s="261"/>
      <c r="X13" s="261"/>
      <c r="Y13" s="261"/>
      <c r="Z13" s="262"/>
    </row>
    <row r="14" spans="1:26" ht="13.5" customHeight="1" thickBot="1" x14ac:dyDescent="0.3">
      <c r="A14" s="159" t="s">
        <v>17</v>
      </c>
      <c r="B14" s="167">
        <f>'Crop Comparison'!B28</f>
        <v>54612.783141275082</v>
      </c>
      <c r="C14" s="151"/>
      <c r="D14" s="27"/>
      <c r="E14" s="28"/>
      <c r="F14" s="29"/>
      <c r="G14" s="30"/>
      <c r="H14" s="29"/>
      <c r="I14" s="29"/>
      <c r="J14" s="29" t="s">
        <v>18</v>
      </c>
      <c r="K14" s="31"/>
      <c r="L14" s="29"/>
      <c r="M14" s="31"/>
      <c r="N14" s="29"/>
      <c r="P14" s="27"/>
      <c r="Q14" s="28"/>
      <c r="R14" s="29"/>
      <c r="S14" s="30"/>
      <c r="T14" s="29"/>
      <c r="U14" s="29"/>
      <c r="V14" s="29" t="s">
        <v>18</v>
      </c>
      <c r="W14" s="31"/>
      <c r="X14" s="29"/>
      <c r="Y14" s="31"/>
      <c r="Z14" s="29"/>
    </row>
    <row r="15" spans="1:26" ht="13.5" customHeight="1" thickBot="1" x14ac:dyDescent="0.3">
      <c r="A15" s="159" t="s">
        <v>19</v>
      </c>
      <c r="B15" s="167">
        <f>'Crop Comparison'!B30</f>
        <v>7800</v>
      </c>
      <c r="C15" s="151"/>
      <c r="D15" s="260" t="s">
        <v>20</v>
      </c>
      <c r="E15" s="262"/>
      <c r="F15" s="32">
        <f>G15-250</f>
        <v>2800</v>
      </c>
      <c r="G15" s="32">
        <f>H15-250</f>
        <v>3050</v>
      </c>
      <c r="H15" s="32">
        <f>I15-250</f>
        <v>3300</v>
      </c>
      <c r="I15" s="32">
        <f>J15-250</f>
        <v>3550</v>
      </c>
      <c r="J15" s="33">
        <f>B20</f>
        <v>3800</v>
      </c>
      <c r="K15" s="32">
        <f>J15+250</f>
        <v>4050</v>
      </c>
      <c r="L15" s="32">
        <f>K15+250</f>
        <v>4300</v>
      </c>
      <c r="M15" s="32">
        <f>L15+250</f>
        <v>4550</v>
      </c>
      <c r="N15" s="32">
        <f>M15+250</f>
        <v>4800</v>
      </c>
      <c r="P15" s="260" t="s">
        <v>20</v>
      </c>
      <c r="Q15" s="262"/>
      <c r="R15" s="32">
        <f>S15-250</f>
        <v>2800</v>
      </c>
      <c r="S15" s="32">
        <f>T15-250</f>
        <v>3050</v>
      </c>
      <c r="T15" s="32">
        <f>U15-250</f>
        <v>3300</v>
      </c>
      <c r="U15" s="32">
        <f>V15-250</f>
        <v>3550</v>
      </c>
      <c r="V15" s="29">
        <f>J15</f>
        <v>3800</v>
      </c>
      <c r="W15" s="32">
        <f>V15+250</f>
        <v>4050</v>
      </c>
      <c r="X15" s="32">
        <f>W15+250</f>
        <v>4300</v>
      </c>
      <c r="Y15" s="32">
        <f>X15+250</f>
        <v>4550</v>
      </c>
      <c r="Z15" s="32">
        <f>Y15+250</f>
        <v>4800</v>
      </c>
    </row>
    <row r="16" spans="1:26" ht="13.5" customHeight="1" thickBot="1" x14ac:dyDescent="0.3">
      <c r="A16" s="160" t="s">
        <v>21</v>
      </c>
      <c r="B16" s="171">
        <f>B15+B14</f>
        <v>62412.783141275082</v>
      </c>
      <c r="C16" s="152"/>
      <c r="D16" s="268" t="s">
        <v>22</v>
      </c>
      <c r="E16" s="269"/>
      <c r="F16" s="34">
        <f t="shared" ref="F16:N16" si="0">F15-$B$21</f>
        <v>2240</v>
      </c>
      <c r="G16" s="34">
        <f t="shared" si="0"/>
        <v>2490</v>
      </c>
      <c r="H16" s="34">
        <f t="shared" si="0"/>
        <v>2740</v>
      </c>
      <c r="I16" s="34">
        <f t="shared" si="0"/>
        <v>2990</v>
      </c>
      <c r="J16" s="35">
        <f>J15-$B$21</f>
        <v>3240</v>
      </c>
      <c r="K16" s="34">
        <f t="shared" si="0"/>
        <v>3490</v>
      </c>
      <c r="L16" s="34">
        <f t="shared" si="0"/>
        <v>3740</v>
      </c>
      <c r="M16" s="34">
        <f t="shared" si="0"/>
        <v>3990</v>
      </c>
      <c r="N16" s="34">
        <f t="shared" si="0"/>
        <v>4240</v>
      </c>
      <c r="P16" s="268" t="s">
        <v>22</v>
      </c>
      <c r="Q16" s="269"/>
      <c r="R16" s="34">
        <f t="shared" ref="R16:Z16" si="1">R15-$B$21</f>
        <v>2240</v>
      </c>
      <c r="S16" s="34">
        <f t="shared" si="1"/>
        <v>2490</v>
      </c>
      <c r="T16" s="34">
        <f t="shared" si="1"/>
        <v>2740</v>
      </c>
      <c r="U16" s="34">
        <f t="shared" si="1"/>
        <v>2990</v>
      </c>
      <c r="V16" s="36">
        <f t="shared" si="1"/>
        <v>3240</v>
      </c>
      <c r="W16" s="34">
        <f t="shared" si="1"/>
        <v>3490</v>
      </c>
      <c r="X16" s="34">
        <f t="shared" si="1"/>
        <v>3740</v>
      </c>
      <c r="Y16" s="34">
        <f t="shared" si="1"/>
        <v>3990</v>
      </c>
      <c r="Z16" s="34">
        <f t="shared" si="1"/>
        <v>4240</v>
      </c>
    </row>
    <row r="17" spans="1:26" ht="13.5" customHeight="1" thickBot="1" x14ac:dyDescent="0.3">
      <c r="A17" s="159"/>
      <c r="B17" s="165"/>
      <c r="C17" s="151"/>
      <c r="D17" s="263" t="s">
        <v>23</v>
      </c>
      <c r="E17" s="37">
        <f>E18-0.5</f>
        <v>14</v>
      </c>
      <c r="F17" s="38">
        <f t="shared" ref="F17:N21" si="2">F$16-($B$16/$E17)</f>
        <v>-2218.0559386625055</v>
      </c>
      <c r="G17" s="39">
        <f t="shared" si="2"/>
        <v>-1968.0559386625055</v>
      </c>
      <c r="H17" s="39">
        <f t="shared" si="2"/>
        <v>-1718.0559386625055</v>
      </c>
      <c r="I17" s="39">
        <f t="shared" si="2"/>
        <v>-1468.0559386625055</v>
      </c>
      <c r="J17" s="39">
        <f t="shared" si="2"/>
        <v>-1218.0559386625055</v>
      </c>
      <c r="K17" s="39">
        <f t="shared" si="2"/>
        <v>-968.05593866250547</v>
      </c>
      <c r="L17" s="39">
        <f t="shared" si="2"/>
        <v>-718.05593866250547</v>
      </c>
      <c r="M17" s="40">
        <f t="shared" si="2"/>
        <v>-468.05593866250547</v>
      </c>
      <c r="N17" s="41">
        <f t="shared" si="2"/>
        <v>-218.05593866250547</v>
      </c>
      <c r="P17" s="263" t="s">
        <v>23</v>
      </c>
      <c r="Q17" s="37">
        <f>Q18-0.5</f>
        <v>14</v>
      </c>
      <c r="R17" s="38">
        <f>R$16-($B$14/$E17)</f>
        <v>-1660.9130815196486</v>
      </c>
      <c r="S17" s="38">
        <f t="shared" ref="S17:Z21" si="3">S$16-($B$14/$E17)</f>
        <v>-1410.9130815196486</v>
      </c>
      <c r="T17" s="38">
        <f t="shared" si="3"/>
        <v>-1160.9130815196486</v>
      </c>
      <c r="U17" s="38">
        <f t="shared" si="3"/>
        <v>-910.91308151964859</v>
      </c>
      <c r="V17" s="38">
        <f t="shared" si="3"/>
        <v>-660.91308151964859</v>
      </c>
      <c r="W17" s="38">
        <f t="shared" si="3"/>
        <v>-410.91308151964859</v>
      </c>
      <c r="X17" s="38">
        <f t="shared" si="3"/>
        <v>-160.91308151964859</v>
      </c>
      <c r="Y17" s="38">
        <f t="shared" si="3"/>
        <v>89.086918480351414</v>
      </c>
      <c r="Z17" s="38">
        <f t="shared" si="3"/>
        <v>339.08691848035141</v>
      </c>
    </row>
    <row r="18" spans="1:26" ht="13.5" customHeight="1" thickBot="1" x14ac:dyDescent="0.3">
      <c r="A18" s="159" t="s">
        <v>24</v>
      </c>
      <c r="B18" s="166">
        <v>15</v>
      </c>
      <c r="C18" s="151"/>
      <c r="D18" s="264"/>
      <c r="E18" s="37">
        <f>E19-0.5</f>
        <v>14.5</v>
      </c>
      <c r="F18" s="42">
        <f t="shared" si="2"/>
        <v>-2064.329871812075</v>
      </c>
      <c r="G18" s="43">
        <f t="shared" si="2"/>
        <v>-1814.329871812075</v>
      </c>
      <c r="H18" s="43">
        <f t="shared" si="2"/>
        <v>-1564.329871812075</v>
      </c>
      <c r="I18" s="43">
        <f t="shared" si="2"/>
        <v>-1314.329871812075</v>
      </c>
      <c r="J18" s="43">
        <f t="shared" si="2"/>
        <v>-1064.329871812075</v>
      </c>
      <c r="K18" s="44">
        <f t="shared" si="2"/>
        <v>-814.329871812075</v>
      </c>
      <c r="L18" s="44">
        <f t="shared" si="2"/>
        <v>-564.329871812075</v>
      </c>
      <c r="M18" s="44">
        <f t="shared" si="2"/>
        <v>-314.329871812075</v>
      </c>
      <c r="N18" s="45">
        <f t="shared" si="2"/>
        <v>-64.329871812074998</v>
      </c>
      <c r="P18" s="264"/>
      <c r="Q18" s="37">
        <f>Q19-0.5</f>
        <v>14.5</v>
      </c>
      <c r="R18" s="38">
        <f>R$16-($B$14/$E18)</f>
        <v>-1526.3988373293159</v>
      </c>
      <c r="S18" s="38">
        <f t="shared" si="3"/>
        <v>-1276.3988373293159</v>
      </c>
      <c r="T18" s="38">
        <f t="shared" si="3"/>
        <v>-1026.3988373293159</v>
      </c>
      <c r="U18" s="38">
        <f t="shared" si="3"/>
        <v>-776.39883732931594</v>
      </c>
      <c r="V18" s="38">
        <f t="shared" si="3"/>
        <v>-526.39883732931594</v>
      </c>
      <c r="W18" s="38">
        <f t="shared" si="3"/>
        <v>-276.39883732931594</v>
      </c>
      <c r="X18" s="38">
        <f t="shared" si="3"/>
        <v>-26.398837329315938</v>
      </c>
      <c r="Y18" s="38">
        <f t="shared" si="3"/>
        <v>223.60116267068406</v>
      </c>
      <c r="Z18" s="38">
        <f t="shared" si="3"/>
        <v>473.60116267068406</v>
      </c>
    </row>
    <row r="19" spans="1:26" ht="13.5" customHeight="1" thickBot="1" x14ac:dyDescent="0.3">
      <c r="A19" s="159"/>
      <c r="B19" s="165"/>
      <c r="C19" s="151"/>
      <c r="D19" s="264"/>
      <c r="E19" s="46">
        <f>B18</f>
        <v>15</v>
      </c>
      <c r="F19" s="42">
        <f t="shared" si="2"/>
        <v>-1920.852209418339</v>
      </c>
      <c r="G19" s="43">
        <f>G$16-($B$16/$E19)</f>
        <v>-1670.852209418339</v>
      </c>
      <c r="H19" s="43">
        <f t="shared" si="2"/>
        <v>-1420.852209418339</v>
      </c>
      <c r="I19" s="43">
        <f t="shared" si="2"/>
        <v>-1170.852209418339</v>
      </c>
      <c r="J19" s="44">
        <f>J$16-($B$16/$E19)</f>
        <v>-920.85220941833904</v>
      </c>
      <c r="K19" s="44">
        <f t="shared" si="2"/>
        <v>-670.85220941833904</v>
      </c>
      <c r="L19" s="44">
        <f t="shared" si="2"/>
        <v>-420.85220941833904</v>
      </c>
      <c r="M19" s="44">
        <f t="shared" si="2"/>
        <v>-170.85220941833904</v>
      </c>
      <c r="N19" s="45">
        <f t="shared" si="2"/>
        <v>79.147790581660956</v>
      </c>
      <c r="P19" s="264"/>
      <c r="Q19" s="46">
        <f>E19</f>
        <v>15</v>
      </c>
      <c r="R19" s="38">
        <f>R$16-($B$14/$E19)</f>
        <v>-1400.8522094183386</v>
      </c>
      <c r="S19" s="38">
        <f t="shared" si="3"/>
        <v>-1150.8522094183386</v>
      </c>
      <c r="T19" s="38">
        <f t="shared" si="3"/>
        <v>-900.85220941833859</v>
      </c>
      <c r="U19" s="38">
        <f t="shared" si="3"/>
        <v>-650.85220941833859</v>
      </c>
      <c r="V19" s="38">
        <f t="shared" si="3"/>
        <v>-400.85220941833859</v>
      </c>
      <c r="W19" s="38">
        <f t="shared" si="3"/>
        <v>-150.85220941833859</v>
      </c>
      <c r="X19" s="38">
        <f t="shared" si="3"/>
        <v>99.147790581661411</v>
      </c>
      <c r="Y19" s="38">
        <f t="shared" si="3"/>
        <v>349.14779058166141</v>
      </c>
      <c r="Z19" s="38">
        <f t="shared" si="3"/>
        <v>599.14779058166141</v>
      </c>
    </row>
    <row r="20" spans="1:26" ht="13.5" customHeight="1" thickBot="1" x14ac:dyDescent="0.3">
      <c r="A20" s="159" t="s">
        <v>25</v>
      </c>
      <c r="B20" s="167">
        <f>$B$4</f>
        <v>3800</v>
      </c>
      <c r="C20" s="151"/>
      <c r="D20" s="264"/>
      <c r="E20" s="37">
        <f>E19+0.5</f>
        <v>15.5</v>
      </c>
      <c r="F20" s="42">
        <f t="shared" si="2"/>
        <v>-1786.6311704048439</v>
      </c>
      <c r="G20" s="43">
        <f t="shared" si="2"/>
        <v>-1536.6311704048439</v>
      </c>
      <c r="H20" s="43">
        <f t="shared" si="2"/>
        <v>-1286.6311704048439</v>
      </c>
      <c r="I20" s="44">
        <f t="shared" si="2"/>
        <v>-1036.6311704048439</v>
      </c>
      <c r="J20" s="44">
        <f t="shared" si="2"/>
        <v>-786.63117040484394</v>
      </c>
      <c r="K20" s="44">
        <f t="shared" si="2"/>
        <v>-536.63117040484394</v>
      </c>
      <c r="L20" s="44">
        <f t="shared" si="2"/>
        <v>-286.63117040484394</v>
      </c>
      <c r="M20" s="44">
        <f t="shared" si="2"/>
        <v>-36.631170404843942</v>
      </c>
      <c r="N20" s="45">
        <f t="shared" si="2"/>
        <v>213.36882959515606</v>
      </c>
      <c r="P20" s="264"/>
      <c r="Q20" s="37">
        <f>Q19+0.5</f>
        <v>15.5</v>
      </c>
      <c r="R20" s="38">
        <f>R$16-($B$14/$E20)</f>
        <v>-1283.4053639532312</v>
      </c>
      <c r="S20" s="38">
        <f t="shared" si="3"/>
        <v>-1033.4053639532312</v>
      </c>
      <c r="T20" s="38">
        <f t="shared" si="3"/>
        <v>-783.40536395323124</v>
      </c>
      <c r="U20" s="38">
        <f t="shared" si="3"/>
        <v>-533.40536395323124</v>
      </c>
      <c r="V20" s="38">
        <f t="shared" si="3"/>
        <v>-283.40536395323124</v>
      </c>
      <c r="W20" s="38">
        <f t="shared" si="3"/>
        <v>-33.405363953231245</v>
      </c>
      <c r="X20" s="38">
        <f t="shared" si="3"/>
        <v>216.59463604676876</v>
      </c>
      <c r="Y20" s="38">
        <f t="shared" si="3"/>
        <v>466.59463604676876</v>
      </c>
      <c r="Z20" s="38">
        <f t="shared" si="3"/>
        <v>716.59463604676876</v>
      </c>
    </row>
    <row r="21" spans="1:26" ht="13.5" customHeight="1" thickBot="1" x14ac:dyDescent="0.3">
      <c r="A21" s="161" t="s">
        <v>26</v>
      </c>
      <c r="B21" s="167">
        <f>D4</f>
        <v>560</v>
      </c>
      <c r="C21" s="151"/>
      <c r="D21" s="265"/>
      <c r="E21" s="37">
        <f>E20+0.5</f>
        <v>16</v>
      </c>
      <c r="F21" s="47">
        <f t="shared" si="2"/>
        <v>-1660.7989463296926</v>
      </c>
      <c r="G21" s="48">
        <f t="shared" si="2"/>
        <v>-1410.7989463296926</v>
      </c>
      <c r="H21" s="49">
        <f t="shared" si="2"/>
        <v>-1160.7989463296926</v>
      </c>
      <c r="I21" s="49">
        <f t="shared" si="2"/>
        <v>-910.79894632969263</v>
      </c>
      <c r="J21" s="49">
        <f t="shared" si="2"/>
        <v>-660.79894632969263</v>
      </c>
      <c r="K21" s="49">
        <f t="shared" si="2"/>
        <v>-410.79894632969263</v>
      </c>
      <c r="L21" s="49">
        <f t="shared" si="2"/>
        <v>-160.79894632969263</v>
      </c>
      <c r="M21" s="49">
        <f t="shared" si="2"/>
        <v>89.201053670307374</v>
      </c>
      <c r="N21" s="50">
        <f>N$16-($B$16/$E21)</f>
        <v>339.20105367030737</v>
      </c>
      <c r="P21" s="265"/>
      <c r="Q21" s="37">
        <f>Q20+0.5</f>
        <v>16</v>
      </c>
      <c r="R21" s="38">
        <f>R$16-($B$14/$E21)</f>
        <v>-1173.2989463296926</v>
      </c>
      <c r="S21" s="38">
        <f>S$16-($B$14/$E21)</f>
        <v>-923.29894632969263</v>
      </c>
      <c r="T21" s="38">
        <f t="shared" si="3"/>
        <v>-673.29894632969263</v>
      </c>
      <c r="U21" s="38">
        <f t="shared" si="3"/>
        <v>-423.29894632969263</v>
      </c>
      <c r="V21" s="38">
        <f t="shared" si="3"/>
        <v>-173.29894632969263</v>
      </c>
      <c r="W21" s="38">
        <f t="shared" si="3"/>
        <v>76.701053670307374</v>
      </c>
      <c r="X21" s="38">
        <f t="shared" si="3"/>
        <v>326.70105367030737</v>
      </c>
      <c r="Y21" s="38">
        <f t="shared" si="3"/>
        <v>576.70105367030737</v>
      </c>
      <c r="Z21" s="38">
        <f t="shared" si="3"/>
        <v>826.70105367030737</v>
      </c>
    </row>
    <row r="22" spans="1:26" ht="13.5" customHeight="1" x14ac:dyDescent="0.25">
      <c r="A22" s="153" t="s">
        <v>27</v>
      </c>
      <c r="B22" s="171">
        <f>B20-B21</f>
        <v>3240</v>
      </c>
      <c r="C22" s="151"/>
      <c r="D22" s="51"/>
      <c r="E22" s="52"/>
      <c r="F22" s="53"/>
      <c r="G22" s="53"/>
      <c r="H22" s="53"/>
      <c r="I22" s="53"/>
      <c r="J22" s="53"/>
      <c r="K22" s="53"/>
      <c r="L22" s="53"/>
      <c r="P22" s="51"/>
      <c r="Q22" s="52"/>
      <c r="R22" s="53"/>
      <c r="S22" s="53"/>
      <c r="T22" s="53"/>
      <c r="U22" s="53"/>
      <c r="V22" s="53"/>
      <c r="W22" s="53"/>
      <c r="X22" s="53"/>
    </row>
    <row r="23" spans="1:26" ht="13.5" customHeight="1" x14ac:dyDescent="0.25">
      <c r="A23" s="153"/>
      <c r="B23" s="152"/>
      <c r="C23" s="151"/>
      <c r="D23" s="51"/>
      <c r="E23" s="52"/>
      <c r="F23" s="53"/>
      <c r="G23" s="53"/>
      <c r="H23" s="53"/>
      <c r="I23" s="53"/>
      <c r="J23" s="53"/>
      <c r="K23" s="53"/>
      <c r="L23" s="53"/>
      <c r="P23" s="51"/>
      <c r="Q23" s="52"/>
      <c r="R23" s="53"/>
      <c r="S23" s="53"/>
      <c r="T23" s="53"/>
      <c r="U23" s="53"/>
      <c r="V23" s="53"/>
      <c r="W23" s="53"/>
      <c r="X23" s="53"/>
    </row>
    <row r="24" spans="1:26" ht="13.5" customHeight="1" x14ac:dyDescent="0.25">
      <c r="B24" s="162"/>
      <c r="D24" s="51"/>
      <c r="E24" s="52"/>
      <c r="F24" s="53"/>
      <c r="G24" s="53"/>
      <c r="H24" s="53"/>
      <c r="I24" s="53"/>
      <c r="J24" s="53"/>
      <c r="K24" s="53"/>
      <c r="L24" s="53"/>
      <c r="P24" s="51"/>
      <c r="Q24" s="52"/>
      <c r="R24" s="53"/>
      <c r="S24" s="53"/>
      <c r="T24" s="53"/>
      <c r="U24" s="53"/>
      <c r="V24" s="53"/>
      <c r="W24" s="53"/>
      <c r="X24" s="53"/>
    </row>
    <row r="25" spans="1:26" ht="13.5" customHeight="1" thickBot="1" x14ac:dyDescent="0.3">
      <c r="A25" s="259"/>
      <c r="B25" s="259"/>
    </row>
    <row r="26" spans="1:26" ht="19.5" customHeight="1" thickBot="1" x14ac:dyDescent="0.3">
      <c r="A26" s="267" t="s">
        <v>28</v>
      </c>
      <c r="B26" s="267"/>
      <c r="C26" s="150"/>
      <c r="D26" s="260" t="s">
        <v>29</v>
      </c>
      <c r="E26" s="261"/>
      <c r="F26" s="261"/>
      <c r="G26" s="261"/>
      <c r="H26" s="261"/>
      <c r="I26" s="261"/>
      <c r="J26" s="261"/>
      <c r="K26" s="261"/>
      <c r="L26" s="261"/>
      <c r="M26" s="261"/>
      <c r="N26" s="262"/>
      <c r="P26" s="260" t="s">
        <v>30</v>
      </c>
      <c r="Q26" s="261"/>
      <c r="R26" s="261"/>
      <c r="S26" s="261"/>
      <c r="T26" s="261"/>
      <c r="U26" s="261"/>
      <c r="V26" s="261"/>
      <c r="W26" s="261"/>
      <c r="X26" s="261"/>
      <c r="Y26" s="261"/>
      <c r="Z26" s="262"/>
    </row>
    <row r="27" spans="1:26" ht="13.5" customHeight="1" thickBot="1" x14ac:dyDescent="0.3">
      <c r="A27" s="159" t="s">
        <v>17</v>
      </c>
      <c r="B27" s="167">
        <f>'Crop Comparison'!C28</f>
        <v>34186.186053197271</v>
      </c>
      <c r="C27" s="154"/>
      <c r="D27" s="27"/>
      <c r="E27" s="28"/>
      <c r="F27" s="29"/>
      <c r="G27" s="30"/>
      <c r="H27" s="29"/>
      <c r="I27" s="29"/>
      <c r="J27" s="29" t="s">
        <v>31</v>
      </c>
      <c r="K27" s="31"/>
      <c r="L27" s="29"/>
      <c r="M27" s="31"/>
      <c r="N27" s="29"/>
      <c r="P27" s="27"/>
      <c r="Q27" s="28"/>
      <c r="R27" s="29"/>
      <c r="S27" s="30"/>
      <c r="T27" s="29"/>
      <c r="U27" s="29"/>
      <c r="V27" s="29" t="s">
        <v>31</v>
      </c>
      <c r="W27" s="31"/>
      <c r="X27" s="29"/>
      <c r="Y27" s="31"/>
      <c r="Z27" s="29"/>
    </row>
    <row r="28" spans="1:26" ht="13.5" customHeight="1" thickBot="1" x14ac:dyDescent="0.3">
      <c r="A28" s="159" t="s">
        <v>19</v>
      </c>
      <c r="B28" s="167">
        <f>'Crop Comparison'!C30</f>
        <v>5890</v>
      </c>
      <c r="C28" s="154"/>
      <c r="D28" s="260" t="s">
        <v>20</v>
      </c>
      <c r="E28" s="262"/>
      <c r="F28" s="32">
        <f>G28-200</f>
        <v>7100</v>
      </c>
      <c r="G28" s="32">
        <f>H28-200</f>
        <v>7300</v>
      </c>
      <c r="H28" s="32">
        <f>I28-200</f>
        <v>7500</v>
      </c>
      <c r="I28" s="32">
        <f>J28-200</f>
        <v>7700</v>
      </c>
      <c r="J28" s="33">
        <f>B33</f>
        <v>7900</v>
      </c>
      <c r="K28" s="32">
        <f>J28+200</f>
        <v>8100</v>
      </c>
      <c r="L28" s="32">
        <f>K28+200</f>
        <v>8300</v>
      </c>
      <c r="M28" s="32">
        <f>L28+200</f>
        <v>8500</v>
      </c>
      <c r="N28" s="32">
        <f>M28+200</f>
        <v>8700</v>
      </c>
      <c r="P28" s="260" t="s">
        <v>20</v>
      </c>
      <c r="Q28" s="262"/>
      <c r="R28" s="32">
        <f>S28-200</f>
        <v>7100</v>
      </c>
      <c r="S28" s="32">
        <f>T28-200</f>
        <v>7300</v>
      </c>
      <c r="T28" s="32">
        <f>U28-200</f>
        <v>7500</v>
      </c>
      <c r="U28" s="32">
        <f>V28-200</f>
        <v>7700</v>
      </c>
      <c r="V28" s="29">
        <f>J28</f>
        <v>7900</v>
      </c>
      <c r="W28" s="32">
        <f>V28+200</f>
        <v>8100</v>
      </c>
      <c r="X28" s="32">
        <f>W28+200</f>
        <v>8300</v>
      </c>
      <c r="Y28" s="32">
        <f>X28+200</f>
        <v>8500</v>
      </c>
      <c r="Z28" s="32">
        <f>Y28+200</f>
        <v>8700</v>
      </c>
    </row>
    <row r="29" spans="1:26" ht="13.5" customHeight="1" thickBot="1" x14ac:dyDescent="0.3">
      <c r="A29" s="160" t="s">
        <v>21</v>
      </c>
      <c r="B29" s="171">
        <f>B28+B27</f>
        <v>40076.186053197271</v>
      </c>
      <c r="C29" s="155"/>
      <c r="D29" s="268" t="s">
        <v>22</v>
      </c>
      <c r="E29" s="269"/>
      <c r="F29" s="54">
        <f t="shared" ref="F29:N29" si="4">F28-$B$34</f>
        <v>6896</v>
      </c>
      <c r="G29" s="34">
        <f t="shared" si="4"/>
        <v>7096</v>
      </c>
      <c r="H29" s="34">
        <f t="shared" si="4"/>
        <v>7296</v>
      </c>
      <c r="I29" s="34">
        <f t="shared" si="4"/>
        <v>7496</v>
      </c>
      <c r="J29" s="36">
        <f t="shared" si="4"/>
        <v>7696</v>
      </c>
      <c r="K29" s="34">
        <f t="shared" si="4"/>
        <v>7896</v>
      </c>
      <c r="L29" s="34">
        <f t="shared" si="4"/>
        <v>8096</v>
      </c>
      <c r="M29" s="34">
        <f t="shared" si="4"/>
        <v>8296</v>
      </c>
      <c r="N29" s="34">
        <f t="shared" si="4"/>
        <v>8496</v>
      </c>
      <c r="P29" s="268" t="s">
        <v>22</v>
      </c>
      <c r="Q29" s="269"/>
      <c r="R29" s="34">
        <f t="shared" ref="R29:Z29" si="5">R28-$B$34</f>
        <v>6896</v>
      </c>
      <c r="S29" s="34">
        <f t="shared" si="5"/>
        <v>7096</v>
      </c>
      <c r="T29" s="34">
        <f t="shared" si="5"/>
        <v>7296</v>
      </c>
      <c r="U29" s="34">
        <f t="shared" si="5"/>
        <v>7496</v>
      </c>
      <c r="V29" s="36">
        <f t="shared" si="5"/>
        <v>7696</v>
      </c>
      <c r="W29" s="34">
        <f t="shared" si="5"/>
        <v>7896</v>
      </c>
      <c r="X29" s="34">
        <f t="shared" si="5"/>
        <v>8096</v>
      </c>
      <c r="Y29" s="34">
        <f t="shared" si="5"/>
        <v>8296</v>
      </c>
      <c r="Z29" s="34">
        <f t="shared" si="5"/>
        <v>8496</v>
      </c>
    </row>
    <row r="30" spans="1:26" ht="13.5" customHeight="1" thickBot="1" x14ac:dyDescent="0.3">
      <c r="A30" s="159"/>
      <c r="B30" s="165"/>
      <c r="C30" s="156"/>
      <c r="D30" s="263" t="s">
        <v>23</v>
      </c>
      <c r="E30" s="37">
        <f>E31-0.25</f>
        <v>3.5</v>
      </c>
      <c r="F30" s="38">
        <f>F$29-($B$29/$E30)</f>
        <v>-4554.3388723420776</v>
      </c>
      <c r="G30" s="39">
        <f t="shared" ref="F30:N34" si="6">G$29-($B$29/$E30)</f>
        <v>-4354.3388723420776</v>
      </c>
      <c r="H30" s="39">
        <f t="shared" si="6"/>
        <v>-4154.3388723420776</v>
      </c>
      <c r="I30" s="39">
        <f t="shared" si="6"/>
        <v>-3954.3388723420776</v>
      </c>
      <c r="J30" s="39">
        <f t="shared" si="6"/>
        <v>-3754.3388723420776</v>
      </c>
      <c r="K30" s="39">
        <f t="shared" si="6"/>
        <v>-3554.3388723420776</v>
      </c>
      <c r="L30" s="39">
        <f t="shared" si="6"/>
        <v>-3354.3388723420776</v>
      </c>
      <c r="M30" s="40">
        <f t="shared" si="6"/>
        <v>-3154.3388723420776</v>
      </c>
      <c r="N30" s="41">
        <f t="shared" si="6"/>
        <v>-2954.3388723420776</v>
      </c>
      <c r="P30" s="263" t="s">
        <v>23</v>
      </c>
      <c r="Q30" s="37">
        <f>Q31-0.25</f>
        <v>3.5</v>
      </c>
      <c r="R30" s="38">
        <f>R$29-($B$27/$E30)</f>
        <v>-2871.4817294849345</v>
      </c>
      <c r="S30" s="38">
        <f t="shared" ref="S30:Z30" si="7">S$29-($B$27/$E30)</f>
        <v>-2671.4817294849345</v>
      </c>
      <c r="T30" s="38">
        <f t="shared" si="7"/>
        <v>-2471.4817294849345</v>
      </c>
      <c r="U30" s="38">
        <f t="shared" si="7"/>
        <v>-2271.4817294849345</v>
      </c>
      <c r="V30" s="38">
        <f t="shared" si="7"/>
        <v>-2071.4817294849345</v>
      </c>
      <c r="W30" s="38">
        <f t="shared" si="7"/>
        <v>-1871.4817294849345</v>
      </c>
      <c r="X30" s="38">
        <f t="shared" si="7"/>
        <v>-1671.4817294849345</v>
      </c>
      <c r="Y30" s="38">
        <f t="shared" si="7"/>
        <v>-1471.4817294849345</v>
      </c>
      <c r="Z30" s="38">
        <f t="shared" si="7"/>
        <v>-1271.4817294849345</v>
      </c>
    </row>
    <row r="31" spans="1:26" ht="13.5" customHeight="1" thickBot="1" x14ac:dyDescent="0.3">
      <c r="A31" s="159" t="s">
        <v>24</v>
      </c>
      <c r="B31" s="166">
        <f>'Bes-soja (vermin bewerk)'!G5</f>
        <v>4</v>
      </c>
      <c r="C31" s="157"/>
      <c r="D31" s="264"/>
      <c r="E31" s="37">
        <f>E32-0.25</f>
        <v>3.75</v>
      </c>
      <c r="F31" s="42">
        <f t="shared" si="6"/>
        <v>-3790.9829475192728</v>
      </c>
      <c r="G31" s="43">
        <f t="shared" si="6"/>
        <v>-3590.9829475192728</v>
      </c>
      <c r="H31" s="43">
        <f t="shared" si="6"/>
        <v>-3390.9829475192728</v>
      </c>
      <c r="I31" s="43">
        <f t="shared" si="6"/>
        <v>-3190.9829475192728</v>
      </c>
      <c r="J31" s="43">
        <f t="shared" si="6"/>
        <v>-2990.9829475192728</v>
      </c>
      <c r="K31" s="44">
        <f t="shared" si="6"/>
        <v>-2790.9829475192728</v>
      </c>
      <c r="L31" s="44">
        <f t="shared" si="6"/>
        <v>-2590.9829475192728</v>
      </c>
      <c r="M31" s="44">
        <f t="shared" si="6"/>
        <v>-2390.9829475192728</v>
      </c>
      <c r="N31" s="45">
        <f t="shared" si="6"/>
        <v>-2190.9829475192728</v>
      </c>
      <c r="P31" s="264"/>
      <c r="Q31" s="37">
        <f>Q32-0.25</f>
        <v>3.75</v>
      </c>
      <c r="R31" s="38">
        <f t="shared" ref="R31:Z34" si="8">R$29-($B$27/$E31)</f>
        <v>-2220.3162808526049</v>
      </c>
      <c r="S31" s="38">
        <f t="shared" si="8"/>
        <v>-2020.3162808526049</v>
      </c>
      <c r="T31" s="38">
        <f t="shared" si="8"/>
        <v>-1820.3162808526049</v>
      </c>
      <c r="U31" s="38">
        <f t="shared" si="8"/>
        <v>-1620.3162808526049</v>
      </c>
      <c r="V31" s="38">
        <f t="shared" si="8"/>
        <v>-1420.3162808526049</v>
      </c>
      <c r="W31" s="38">
        <f t="shared" si="8"/>
        <v>-1220.3162808526049</v>
      </c>
      <c r="X31" s="38">
        <f t="shared" si="8"/>
        <v>-1020.3162808526049</v>
      </c>
      <c r="Y31" s="38">
        <f t="shared" si="8"/>
        <v>-820.3162808526049</v>
      </c>
      <c r="Z31" s="38">
        <f t="shared" si="8"/>
        <v>-620.3162808526049</v>
      </c>
    </row>
    <row r="32" spans="1:26" ht="13.5" customHeight="1" thickBot="1" x14ac:dyDescent="0.3">
      <c r="A32" s="159"/>
      <c r="B32" s="165"/>
      <c r="C32" s="156"/>
      <c r="D32" s="264"/>
      <c r="E32" s="46">
        <f>B31</f>
        <v>4</v>
      </c>
      <c r="F32" s="42">
        <f t="shared" si="6"/>
        <v>-3123.0465132993177</v>
      </c>
      <c r="G32" s="43">
        <f t="shared" si="6"/>
        <v>-2923.0465132993177</v>
      </c>
      <c r="H32" s="43">
        <f>H$29-($B$29/$E32)</f>
        <v>-2723.0465132993177</v>
      </c>
      <c r="I32" s="43">
        <f t="shared" si="6"/>
        <v>-2523.0465132993177</v>
      </c>
      <c r="J32" s="44">
        <f t="shared" si="6"/>
        <v>-2323.0465132993177</v>
      </c>
      <c r="K32" s="44">
        <f t="shared" si="6"/>
        <v>-2123.0465132993177</v>
      </c>
      <c r="L32" s="44">
        <f t="shared" si="6"/>
        <v>-1923.0465132993177</v>
      </c>
      <c r="M32" s="44">
        <f t="shared" si="6"/>
        <v>-1723.0465132993177</v>
      </c>
      <c r="N32" s="45">
        <f t="shared" si="6"/>
        <v>-1523.0465132993177</v>
      </c>
      <c r="P32" s="264"/>
      <c r="Q32" s="46">
        <f>E32</f>
        <v>4</v>
      </c>
      <c r="R32" s="38">
        <f>R$29-($B$27/$E32)</f>
        <v>-1650.5465132993177</v>
      </c>
      <c r="S32" s="38">
        <f t="shared" si="8"/>
        <v>-1450.5465132993177</v>
      </c>
      <c r="T32" s="38">
        <f t="shared" si="8"/>
        <v>-1250.5465132993177</v>
      </c>
      <c r="U32" s="38">
        <f t="shared" si="8"/>
        <v>-1050.5465132993177</v>
      </c>
      <c r="V32" s="38">
        <f t="shared" si="8"/>
        <v>-850.54651329931767</v>
      </c>
      <c r="W32" s="38">
        <f t="shared" si="8"/>
        <v>-650.54651329931767</v>
      </c>
      <c r="X32" s="38">
        <f t="shared" si="8"/>
        <v>-450.54651329931767</v>
      </c>
      <c r="Y32" s="38">
        <f t="shared" si="8"/>
        <v>-250.54651329931767</v>
      </c>
      <c r="Z32" s="38">
        <f t="shared" si="8"/>
        <v>-50.546513299317667</v>
      </c>
    </row>
    <row r="33" spans="1:26" ht="13.5" customHeight="1" thickBot="1" x14ac:dyDescent="0.3">
      <c r="A33" s="159" t="s">
        <v>32</v>
      </c>
      <c r="B33" s="167">
        <f>B5</f>
        <v>7900</v>
      </c>
      <c r="C33" s="156"/>
      <c r="D33" s="264"/>
      <c r="E33" s="37">
        <f>E32+0.25</f>
        <v>4.25</v>
      </c>
      <c r="F33" s="42">
        <f t="shared" si="6"/>
        <v>-2533.6908360464167</v>
      </c>
      <c r="G33" s="43">
        <f t="shared" si="6"/>
        <v>-2333.6908360464167</v>
      </c>
      <c r="H33" s="43">
        <f t="shared" si="6"/>
        <v>-2133.6908360464167</v>
      </c>
      <c r="I33" s="44">
        <f t="shared" si="6"/>
        <v>-1933.6908360464167</v>
      </c>
      <c r="J33" s="44">
        <f t="shared" si="6"/>
        <v>-1733.6908360464167</v>
      </c>
      <c r="K33" s="44">
        <f t="shared" si="6"/>
        <v>-1533.6908360464167</v>
      </c>
      <c r="L33" s="44">
        <f t="shared" si="6"/>
        <v>-1333.6908360464167</v>
      </c>
      <c r="M33" s="44">
        <f t="shared" si="6"/>
        <v>-1133.6908360464167</v>
      </c>
      <c r="N33" s="45">
        <f t="shared" si="6"/>
        <v>-933.69083604641673</v>
      </c>
      <c r="P33" s="264"/>
      <c r="Q33" s="37">
        <f>Q32+0.25</f>
        <v>4.25</v>
      </c>
      <c r="R33" s="38">
        <f t="shared" si="8"/>
        <v>-1147.8084831052402</v>
      </c>
      <c r="S33" s="38">
        <f t="shared" si="8"/>
        <v>-947.80848310524016</v>
      </c>
      <c r="T33" s="38">
        <f t="shared" si="8"/>
        <v>-747.80848310524016</v>
      </c>
      <c r="U33" s="38">
        <f t="shared" si="8"/>
        <v>-547.80848310524016</v>
      </c>
      <c r="V33" s="38">
        <f>V$29-($B$27/$E33)</f>
        <v>-347.80848310524016</v>
      </c>
      <c r="W33" s="38">
        <f t="shared" si="8"/>
        <v>-147.80848310524016</v>
      </c>
      <c r="X33" s="38">
        <f t="shared" si="8"/>
        <v>52.191516894759843</v>
      </c>
      <c r="Y33" s="38">
        <f t="shared" si="8"/>
        <v>252.19151689475984</v>
      </c>
      <c r="Z33" s="38">
        <f t="shared" si="8"/>
        <v>452.19151689475984</v>
      </c>
    </row>
    <row r="34" spans="1:26" ht="13.5" customHeight="1" thickBot="1" x14ac:dyDescent="0.3">
      <c r="A34" s="161" t="s">
        <v>26</v>
      </c>
      <c r="B34" s="167">
        <f>D5</f>
        <v>204</v>
      </c>
      <c r="C34" s="158"/>
      <c r="D34" s="265"/>
      <c r="E34" s="37">
        <f>E33+0.25</f>
        <v>4.5</v>
      </c>
      <c r="F34" s="47">
        <f t="shared" si="6"/>
        <v>-2009.8191229327276</v>
      </c>
      <c r="G34" s="48">
        <f t="shared" si="6"/>
        <v>-1809.8191229327276</v>
      </c>
      <c r="H34" s="49">
        <f t="shared" si="6"/>
        <v>-1609.8191229327276</v>
      </c>
      <c r="I34" s="49">
        <f t="shared" si="6"/>
        <v>-1409.8191229327276</v>
      </c>
      <c r="J34" s="49">
        <f t="shared" si="6"/>
        <v>-1209.8191229327276</v>
      </c>
      <c r="K34" s="49">
        <f t="shared" si="6"/>
        <v>-1009.8191229327276</v>
      </c>
      <c r="L34" s="49">
        <f t="shared" si="6"/>
        <v>-809.81912293272762</v>
      </c>
      <c r="M34" s="49">
        <f t="shared" si="6"/>
        <v>-609.81912293272762</v>
      </c>
      <c r="N34" s="50">
        <f t="shared" si="6"/>
        <v>-409.81912293272762</v>
      </c>
      <c r="P34" s="265"/>
      <c r="Q34" s="37">
        <f>Q33+0.25</f>
        <v>4.5</v>
      </c>
      <c r="R34" s="38">
        <f t="shared" si="8"/>
        <v>-700.93023404383803</v>
      </c>
      <c r="S34" s="38">
        <f t="shared" si="8"/>
        <v>-500.93023404383803</v>
      </c>
      <c r="T34" s="38">
        <f t="shared" si="8"/>
        <v>-300.93023404383803</v>
      </c>
      <c r="U34" s="38">
        <f t="shared" si="8"/>
        <v>-100.93023404383803</v>
      </c>
      <c r="V34" s="38">
        <f t="shared" si="8"/>
        <v>99.069765956161973</v>
      </c>
      <c r="W34" s="38">
        <f t="shared" si="8"/>
        <v>299.06976595616197</v>
      </c>
      <c r="X34" s="38">
        <f t="shared" si="8"/>
        <v>499.06976595616197</v>
      </c>
      <c r="Y34" s="38">
        <f t="shared" si="8"/>
        <v>699.06976595616197</v>
      </c>
      <c r="Z34" s="38">
        <f t="shared" si="8"/>
        <v>899.06976595616197</v>
      </c>
    </row>
    <row r="35" spans="1:26" ht="13.5" customHeight="1" x14ac:dyDescent="0.25">
      <c r="A35" s="153" t="s">
        <v>27</v>
      </c>
      <c r="B35" s="171">
        <f>B33-B34</f>
        <v>7696</v>
      </c>
      <c r="C35" s="158"/>
    </row>
    <row r="36" spans="1:26" ht="13.5" customHeight="1" x14ac:dyDescent="0.25">
      <c r="B36" s="168"/>
    </row>
    <row r="37" spans="1:26" ht="13.5" customHeight="1" x14ac:dyDescent="0.25"/>
  </sheetData>
  <sheetProtection selectLockedCells="1"/>
  <mergeCells count="20">
    <mergeCell ref="D30:D34"/>
    <mergeCell ref="P30:P34"/>
    <mergeCell ref="D16:E16"/>
    <mergeCell ref="P16:Q16"/>
    <mergeCell ref="D28:E28"/>
    <mergeCell ref="P28:Q28"/>
    <mergeCell ref="D29:E29"/>
    <mergeCell ref="P29:Q29"/>
    <mergeCell ref="A12:B12"/>
    <mergeCell ref="A25:B25"/>
    <mergeCell ref="D26:N26"/>
    <mergeCell ref="P26:Z26"/>
    <mergeCell ref="D17:D21"/>
    <mergeCell ref="P17:P21"/>
    <mergeCell ref="D13:N13"/>
    <mergeCell ref="P13:Z13"/>
    <mergeCell ref="D15:E15"/>
    <mergeCell ref="P15:Q15"/>
    <mergeCell ref="A13:B13"/>
    <mergeCell ref="A26:B26"/>
  </mergeCells>
  <conditionalFormatting sqref="F17:N21">
    <cfRule type="cellIs" dxfId="15" priority="21" stopIfTrue="1" operator="lessThan">
      <formula>1</formula>
    </cfRule>
    <cfRule type="cellIs" dxfId="14" priority="22" stopIfTrue="1" operator="greaterThan">
      <formula>1</formula>
    </cfRule>
    <cfRule type="cellIs" dxfId="13" priority="23" stopIfTrue="1" operator="lessThan">
      <formula>1</formula>
    </cfRule>
    <cfRule type="cellIs" dxfId="12" priority="24" stopIfTrue="1" operator="greaterThan">
      <formula>1</formula>
    </cfRule>
  </conditionalFormatting>
  <conditionalFormatting sqref="F30:N34">
    <cfRule type="cellIs" dxfId="11" priority="17" stopIfTrue="1" operator="lessThan">
      <formula>1</formula>
    </cfRule>
    <cfRule type="cellIs" dxfId="10" priority="18" stopIfTrue="1" operator="greaterThan">
      <formula>1</formula>
    </cfRule>
    <cfRule type="cellIs" dxfId="9" priority="19" stopIfTrue="1" operator="lessThan">
      <formula>1</formula>
    </cfRule>
    <cfRule type="cellIs" dxfId="8" priority="20" stopIfTrue="1" operator="greaterThan">
      <formula>1</formula>
    </cfRule>
  </conditionalFormatting>
  <conditionalFormatting sqref="R17:Z21">
    <cfRule type="cellIs" dxfId="7" priority="13" stopIfTrue="1" operator="lessThan">
      <formula>1</formula>
    </cfRule>
    <cfRule type="cellIs" dxfId="6" priority="14" stopIfTrue="1" operator="greaterThan">
      <formula>1</formula>
    </cfRule>
    <cfRule type="cellIs" dxfId="5" priority="15" stopIfTrue="1" operator="lessThan">
      <formula>1</formula>
    </cfRule>
    <cfRule type="cellIs" dxfId="4" priority="16" stopIfTrue="1" operator="greaterThan">
      <formula>1</formula>
    </cfRule>
  </conditionalFormatting>
  <conditionalFormatting sqref="R30:Z34">
    <cfRule type="cellIs" dxfId="3" priority="9" stopIfTrue="1" operator="lessThan">
      <formula>1</formula>
    </cfRule>
    <cfRule type="cellIs" dxfId="2" priority="10" stopIfTrue="1" operator="greaterThan">
      <formula>1</formula>
    </cfRule>
    <cfRule type="cellIs" dxfId="1" priority="11" stopIfTrue="1" operator="lessThan">
      <formula>1</formula>
    </cfRule>
    <cfRule type="cellIs" dxfId="0" priority="12" stopIfTrue="1" operator="greaterThan">
      <formula>1</formula>
    </cfRule>
  </conditionalFormatting>
  <dataValidations count="2">
    <dataValidation type="list" allowBlank="1" showInputMessage="1" showErrorMessage="1" sqref="B18" xr:uid="{00000000-0002-0000-0000-000000000000}">
      <formula1>Opbrengspeil</formula1>
    </dataValidation>
    <dataValidation type="list" allowBlank="1" showInputMessage="1" showErrorMessage="1" sqref="B31" xr:uid="{00000000-0002-0000-0000-000001000000}">
      <formula1>Sojaopbrengspeil</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7"/>
  <sheetViews>
    <sheetView zoomScale="85" zoomScaleNormal="85" zoomScaleSheetLayoutView="90" workbookViewId="0">
      <selection activeCell="X19" sqref="X19"/>
    </sheetView>
  </sheetViews>
  <sheetFormatPr defaultColWidth="9.109375" defaultRowHeight="13.2" x14ac:dyDescent="0.25"/>
  <cols>
    <col min="1" max="1" width="43.109375" style="1" customWidth="1"/>
    <col min="2" max="2" width="12.109375" style="1" customWidth="1"/>
    <col min="3" max="3" width="34.5546875" style="1" customWidth="1"/>
    <col min="4" max="4" width="10.21875" style="1" bestFit="1" customWidth="1"/>
    <col min="5" max="6" width="10.33203125" style="1" bestFit="1" customWidth="1"/>
    <col min="7" max="7" width="16" style="1" customWidth="1"/>
    <col min="8" max="8" width="10.6640625" style="1" customWidth="1"/>
    <col min="9" max="9" width="11.6640625" style="1" customWidth="1"/>
    <col min="10" max="10" width="11" style="1" customWidth="1"/>
    <col min="11" max="11" width="10.6640625" style="1" hidden="1" customWidth="1"/>
    <col min="12" max="12" width="11.5546875" style="1" hidden="1" customWidth="1"/>
    <col min="13" max="21" width="12.6640625" style="1" hidden="1" customWidth="1"/>
    <col min="22" max="26" width="12.6640625" style="1" customWidth="1"/>
    <col min="27" max="37" width="9.109375" style="1" customWidth="1"/>
    <col min="38" max="16384" width="9.109375" style="1"/>
  </cols>
  <sheetData>
    <row r="1" spans="1:21" ht="33" customHeight="1" thickBot="1" x14ac:dyDescent="0.3">
      <c r="A1" s="283" t="s">
        <v>148</v>
      </c>
      <c r="B1" s="284"/>
      <c r="C1" s="284"/>
      <c r="D1" s="284"/>
      <c r="E1" s="285" t="s">
        <v>33</v>
      </c>
      <c r="F1" s="285"/>
      <c r="G1" s="285"/>
      <c r="H1" s="182"/>
      <c r="I1" s="183"/>
    </row>
    <row r="2" spans="1:21" ht="16.2" thickBot="1" x14ac:dyDescent="0.35">
      <c r="A2" s="8"/>
      <c r="B2" s="9"/>
      <c r="C2" s="10"/>
      <c r="D2" s="10"/>
      <c r="E2" s="6"/>
      <c r="F2" s="6"/>
      <c r="G2" s="6"/>
      <c r="H2" s="6"/>
      <c r="I2" s="2"/>
    </row>
    <row r="3" spans="1:21" ht="27" customHeight="1" thickBot="1" x14ac:dyDescent="0.3">
      <c r="A3" s="270" t="s">
        <v>34</v>
      </c>
      <c r="B3" s="286"/>
      <c r="C3" s="286"/>
      <c r="D3" s="174"/>
      <c r="E3" s="185">
        <f>'Pryse + Sensatiwiteitsanalise'!B22</f>
        <v>3240</v>
      </c>
      <c r="F3" s="174" t="s">
        <v>35</v>
      </c>
      <c r="G3" s="174"/>
      <c r="H3" s="175"/>
      <c r="I3" s="176"/>
    </row>
    <row r="4" spans="1:21" ht="13.8" thickBot="1" x14ac:dyDescent="0.3">
      <c r="A4" s="67"/>
      <c r="B4" s="68"/>
      <c r="C4" s="68"/>
      <c r="D4" s="22"/>
      <c r="E4" s="21"/>
      <c r="F4" s="20"/>
      <c r="G4" s="23"/>
      <c r="H4" s="19"/>
      <c r="I4" s="17"/>
    </row>
    <row r="5" spans="1:21" ht="13.8" thickBot="1" x14ac:dyDescent="0.3">
      <c r="A5" s="67" t="s">
        <v>36</v>
      </c>
      <c r="B5" s="68"/>
      <c r="C5" s="68"/>
      <c r="D5" s="18">
        <v>11</v>
      </c>
      <c r="E5" s="18">
        <v>12</v>
      </c>
      <c r="F5" s="18">
        <v>13</v>
      </c>
      <c r="G5" s="18">
        <v>14</v>
      </c>
      <c r="H5" s="18">
        <v>15</v>
      </c>
      <c r="I5" s="18">
        <v>16</v>
      </c>
    </row>
    <row r="6" spans="1:21" ht="13.8" thickBot="1" x14ac:dyDescent="0.3">
      <c r="A6" s="177" t="s">
        <v>37</v>
      </c>
      <c r="B6" s="178"/>
      <c r="C6" s="179"/>
      <c r="D6" s="180">
        <v>34397</v>
      </c>
      <c r="E6" s="180">
        <v>37524</v>
      </c>
      <c r="F6" s="180">
        <v>40651</v>
      </c>
      <c r="G6" s="180">
        <v>43778</v>
      </c>
      <c r="H6" s="180">
        <v>46905</v>
      </c>
      <c r="I6" s="180">
        <v>50032</v>
      </c>
    </row>
    <row r="7" spans="1:21" ht="15" thickBot="1" x14ac:dyDescent="0.35">
      <c r="A7" s="70"/>
      <c r="B7" s="71"/>
      <c r="C7" s="71"/>
      <c r="D7" s="14"/>
      <c r="E7" s="14"/>
      <c r="F7" s="14"/>
      <c r="G7" s="14"/>
      <c r="H7" s="14"/>
      <c r="I7" s="14"/>
      <c r="S7" s="273" t="s">
        <v>38</v>
      </c>
      <c r="T7" s="273"/>
      <c r="U7" s="273"/>
    </row>
    <row r="8" spans="1:21" ht="15" thickBot="1" x14ac:dyDescent="0.35">
      <c r="A8" s="291" t="s">
        <v>39</v>
      </c>
      <c r="B8" s="292"/>
      <c r="C8" s="293"/>
      <c r="D8" s="184"/>
      <c r="E8" s="184"/>
      <c r="F8" s="184"/>
      <c r="G8" s="184"/>
      <c r="H8" s="184"/>
      <c r="I8" s="184"/>
      <c r="S8" s="77" t="s">
        <v>40</v>
      </c>
      <c r="T8" s="77" t="s">
        <v>41</v>
      </c>
      <c r="U8" s="77" t="s">
        <v>42</v>
      </c>
    </row>
    <row r="9" spans="1:21" ht="14.4" x14ac:dyDescent="0.3">
      <c r="A9" s="73" t="s">
        <v>43</v>
      </c>
      <c r="B9" s="74"/>
      <c r="C9" s="74"/>
      <c r="D9" s="106">
        <v>6804.2250000000004</v>
      </c>
      <c r="E9" s="106">
        <v>6804.2250000000004</v>
      </c>
      <c r="F9" s="106">
        <v>6804.2250000000004</v>
      </c>
      <c r="G9" s="106">
        <v>6804.2250000000004</v>
      </c>
      <c r="H9" s="106">
        <v>7182.2375000000002</v>
      </c>
      <c r="I9" s="106">
        <v>7182.2375000000002</v>
      </c>
      <c r="S9" s="78">
        <f>D5</f>
        <v>11</v>
      </c>
      <c r="T9" s="78">
        <f>D26</f>
        <v>42036.327675305853</v>
      </c>
      <c r="U9" s="78">
        <f>D28</f>
        <v>7800</v>
      </c>
    </row>
    <row r="10" spans="1:21" ht="14.4" x14ac:dyDescent="0.3">
      <c r="A10" s="69" t="s">
        <v>44</v>
      </c>
      <c r="B10" s="72"/>
      <c r="C10" s="72"/>
      <c r="D10" s="107">
        <v>16458.47</v>
      </c>
      <c r="E10" s="107">
        <v>17537.73</v>
      </c>
      <c r="F10" s="107">
        <v>18616.989999999998</v>
      </c>
      <c r="G10" s="107">
        <v>19696.25</v>
      </c>
      <c r="H10" s="107">
        <v>21142.154999999999</v>
      </c>
      <c r="I10" s="107">
        <v>22179.904999999999</v>
      </c>
      <c r="S10" s="78">
        <f>E5</f>
        <v>12</v>
      </c>
      <c r="T10" s="78">
        <f>E26</f>
        <v>44127.884518261097</v>
      </c>
      <c r="U10" s="78">
        <f>E28</f>
        <v>7800</v>
      </c>
    </row>
    <row r="11" spans="1:21" ht="14.4" x14ac:dyDescent="0.3">
      <c r="A11" s="69" t="s">
        <v>45</v>
      </c>
      <c r="B11" s="72"/>
      <c r="C11" s="72"/>
      <c r="D11" s="107">
        <v>800</v>
      </c>
      <c r="E11" s="107">
        <v>800</v>
      </c>
      <c r="F11" s="107">
        <v>800</v>
      </c>
      <c r="G11" s="107">
        <v>800</v>
      </c>
      <c r="H11" s="107">
        <v>800</v>
      </c>
      <c r="I11" s="107">
        <v>800</v>
      </c>
      <c r="S11" s="78">
        <f>F5</f>
        <v>13</v>
      </c>
      <c r="T11" s="78">
        <f>F26</f>
        <v>46388.98026997791</v>
      </c>
      <c r="U11" s="78">
        <f>F28</f>
        <v>7800</v>
      </c>
    </row>
    <row r="12" spans="1:21" ht="14.4" x14ac:dyDescent="0.3">
      <c r="A12" s="69" t="s">
        <v>46</v>
      </c>
      <c r="B12" s="72"/>
      <c r="C12" s="72"/>
      <c r="D12" s="107">
        <v>1915.3067980000001</v>
      </c>
      <c r="E12" s="107">
        <v>1970.5067980000001</v>
      </c>
      <c r="F12" s="107">
        <v>2025.7067980000002</v>
      </c>
      <c r="G12" s="107">
        <v>2080.906798</v>
      </c>
      <c r="H12" s="107">
        <v>2136.1067979999998</v>
      </c>
      <c r="I12" s="107">
        <v>2191.3067980000001</v>
      </c>
      <c r="S12" s="78">
        <f>G5</f>
        <v>14</v>
      </c>
      <c r="T12" s="78">
        <f>G26</f>
        <v>47749.14654260908</v>
      </c>
      <c r="U12" s="78">
        <f>G28</f>
        <v>7800</v>
      </c>
    </row>
    <row r="13" spans="1:21" ht="14.4" x14ac:dyDescent="0.3">
      <c r="A13" s="69" t="s">
        <v>47</v>
      </c>
      <c r="B13" s="72"/>
      <c r="C13" s="72"/>
      <c r="D13" s="107">
        <v>1045.8125</v>
      </c>
      <c r="E13" s="107">
        <v>1052.8724999999999</v>
      </c>
      <c r="F13" s="107">
        <v>1059.9325000000001</v>
      </c>
      <c r="G13" s="107">
        <v>1066.9925000000001</v>
      </c>
      <c r="H13" s="107">
        <v>1074.0525</v>
      </c>
      <c r="I13" s="107">
        <v>1081.1125</v>
      </c>
      <c r="S13" s="78">
        <f>H5</f>
        <v>15</v>
      </c>
      <c r="T13" s="78">
        <f>H26</f>
        <v>51777.034298834107</v>
      </c>
      <c r="U13" s="78">
        <f>H28</f>
        <v>7800</v>
      </c>
    </row>
    <row r="14" spans="1:21" ht="14.4" x14ac:dyDescent="0.3">
      <c r="A14" s="69" t="s">
        <v>48</v>
      </c>
      <c r="B14" s="72"/>
      <c r="C14" s="72"/>
      <c r="D14" s="107">
        <v>1598.0742400000001</v>
      </c>
      <c r="E14" s="107">
        <v>1530.4782400000001</v>
      </c>
      <c r="F14" s="107">
        <v>1530.4782400000001</v>
      </c>
      <c r="G14" s="107">
        <v>1598.0742400000001</v>
      </c>
      <c r="H14" s="107">
        <v>2507.0046399999997</v>
      </c>
      <c r="I14" s="107">
        <v>2995.2678400000004</v>
      </c>
      <c r="S14" s="78">
        <f>I5</f>
        <v>16</v>
      </c>
      <c r="T14" s="78">
        <f>I26</f>
        <v>54612.783141275082</v>
      </c>
      <c r="U14" s="78">
        <f>I28</f>
        <v>7800</v>
      </c>
    </row>
    <row r="15" spans="1:21" x14ac:dyDescent="0.25">
      <c r="A15" s="69" t="s">
        <v>49</v>
      </c>
      <c r="B15" s="72"/>
      <c r="C15" s="72"/>
      <c r="D15" s="107">
        <v>0</v>
      </c>
      <c r="E15" s="107">
        <v>0</v>
      </c>
      <c r="F15" s="107">
        <v>0</v>
      </c>
      <c r="G15" s="107">
        <v>0</v>
      </c>
      <c r="H15" s="107">
        <v>0</v>
      </c>
      <c r="I15" s="107">
        <v>0</v>
      </c>
    </row>
    <row r="16" spans="1:21" x14ac:dyDescent="0.25">
      <c r="A16" s="69" t="s">
        <v>50</v>
      </c>
      <c r="B16" s="72"/>
      <c r="C16" s="72"/>
      <c r="D16" s="107">
        <v>0</v>
      </c>
      <c r="E16" s="107">
        <v>0</v>
      </c>
      <c r="F16" s="107">
        <v>0</v>
      </c>
      <c r="G16" s="107">
        <v>0</v>
      </c>
      <c r="H16" s="107">
        <v>0</v>
      </c>
      <c r="I16" s="107">
        <v>0</v>
      </c>
    </row>
    <row r="17" spans="1:10" x14ac:dyDescent="0.25">
      <c r="A17" s="69" t="s">
        <v>51</v>
      </c>
      <c r="B17" s="72"/>
      <c r="C17" s="72"/>
      <c r="D17" s="107">
        <v>8182.48</v>
      </c>
      <c r="E17" s="107">
        <v>9002.1999999999989</v>
      </c>
      <c r="F17" s="107">
        <v>9913</v>
      </c>
      <c r="G17" s="107">
        <v>9913</v>
      </c>
      <c r="H17" s="107">
        <v>10823.800000000001</v>
      </c>
      <c r="I17" s="107">
        <v>11825.680000000002</v>
      </c>
    </row>
    <row r="18" spans="1:10" x14ac:dyDescent="0.25">
      <c r="A18" s="69" t="s">
        <v>52</v>
      </c>
      <c r="B18" s="72"/>
      <c r="C18" s="72"/>
      <c r="D18" s="107"/>
      <c r="E18" s="107"/>
      <c r="F18" s="107"/>
      <c r="G18" s="107"/>
      <c r="H18" s="107"/>
      <c r="I18" s="107"/>
    </row>
    <row r="19" spans="1:10" x14ac:dyDescent="0.25">
      <c r="A19" s="69" t="s">
        <v>53</v>
      </c>
      <c r="B19" s="72"/>
      <c r="C19" s="72"/>
      <c r="D19" s="107">
        <v>1100</v>
      </c>
      <c r="E19" s="107">
        <v>1100</v>
      </c>
      <c r="F19" s="107">
        <v>1100</v>
      </c>
      <c r="G19" s="107">
        <v>1100</v>
      </c>
      <c r="H19" s="107">
        <v>1100</v>
      </c>
      <c r="I19" s="107">
        <v>1100</v>
      </c>
    </row>
    <row r="20" spans="1:10" x14ac:dyDescent="0.25">
      <c r="A20" s="69" t="s">
        <v>54</v>
      </c>
      <c r="B20" s="72"/>
      <c r="C20" s="72"/>
      <c r="D20" s="107">
        <v>702.9</v>
      </c>
      <c r="E20" s="107">
        <v>766.80000000000007</v>
      </c>
      <c r="F20" s="107">
        <v>830.7</v>
      </c>
      <c r="G20" s="107">
        <v>894.6</v>
      </c>
      <c r="H20" s="107">
        <v>958.5</v>
      </c>
      <c r="I20" s="107">
        <v>1022.4</v>
      </c>
    </row>
    <row r="21" spans="1:10" x14ac:dyDescent="0.25">
      <c r="A21" s="69" t="s">
        <v>55</v>
      </c>
      <c r="B21" s="72"/>
      <c r="C21" s="72"/>
      <c r="D21" s="107">
        <v>500</v>
      </c>
      <c r="E21" s="107">
        <v>500</v>
      </c>
      <c r="F21" s="107">
        <v>500</v>
      </c>
      <c r="G21" s="107">
        <v>500</v>
      </c>
      <c r="H21" s="107">
        <v>500</v>
      </c>
      <c r="I21" s="107">
        <v>500</v>
      </c>
    </row>
    <row r="22" spans="1:10" s="7" customFormat="1" x14ac:dyDescent="0.25">
      <c r="A22" s="69" t="s">
        <v>56</v>
      </c>
      <c r="B22" s="72"/>
      <c r="C22" s="72"/>
      <c r="D22" s="107">
        <v>300</v>
      </c>
      <c r="E22" s="107">
        <v>300</v>
      </c>
      <c r="F22" s="107">
        <v>300</v>
      </c>
      <c r="G22" s="107">
        <v>300</v>
      </c>
      <c r="H22" s="107">
        <v>300</v>
      </c>
      <c r="I22" s="107">
        <v>300</v>
      </c>
      <c r="J22" s="1"/>
    </row>
    <row r="23" spans="1:10" s="7" customFormat="1" x14ac:dyDescent="0.25">
      <c r="A23" s="69" t="s">
        <v>57</v>
      </c>
      <c r="B23" s="72"/>
      <c r="C23" s="72"/>
      <c r="D23" s="107">
        <v>0</v>
      </c>
      <c r="E23" s="107">
        <v>0</v>
      </c>
      <c r="F23" s="107">
        <v>0</v>
      </c>
      <c r="G23" s="107">
        <v>0</v>
      </c>
      <c r="H23" s="107">
        <v>0</v>
      </c>
      <c r="I23" s="107">
        <v>0</v>
      </c>
      <c r="J23" s="1"/>
    </row>
    <row r="24" spans="1:10" s="7" customFormat="1" x14ac:dyDescent="0.25">
      <c r="A24" s="69" t="s">
        <v>58</v>
      </c>
      <c r="B24" s="72"/>
      <c r="C24" s="72"/>
      <c r="D24" s="107">
        <v>0</v>
      </c>
      <c r="E24" s="107">
        <v>0</v>
      </c>
      <c r="F24" s="107">
        <v>0</v>
      </c>
      <c r="G24" s="107">
        <v>0</v>
      </c>
      <c r="H24" s="107">
        <v>0</v>
      </c>
      <c r="I24" s="107">
        <v>0</v>
      </c>
      <c r="J24" s="1"/>
    </row>
    <row r="25" spans="1:10" s="7" customFormat="1" ht="13.8" thickBot="1" x14ac:dyDescent="0.3">
      <c r="A25" s="69" t="s">
        <v>59</v>
      </c>
      <c r="B25" s="72"/>
      <c r="C25" s="72"/>
      <c r="D25" s="107">
        <v>2629.0591373058473</v>
      </c>
      <c r="E25" s="107">
        <v>2763.0719802610934</v>
      </c>
      <c r="F25" s="107">
        <v>2907.9477319779144</v>
      </c>
      <c r="G25" s="107">
        <v>2995.0980046090876</v>
      </c>
      <c r="H25" s="107">
        <v>3253.1778608341069</v>
      </c>
      <c r="I25" s="107">
        <v>3434.8735032750787</v>
      </c>
      <c r="J25" s="1"/>
    </row>
    <row r="26" spans="1:10" s="7" customFormat="1" ht="26.25" customHeight="1" thickBot="1" x14ac:dyDescent="0.3">
      <c r="A26" s="270" t="s">
        <v>60</v>
      </c>
      <c r="B26" s="271"/>
      <c r="C26" s="272"/>
      <c r="D26" s="181">
        <f>SUM(D9:D25)</f>
        <v>42036.327675305853</v>
      </c>
      <c r="E26" s="181">
        <f t="shared" ref="E26:I26" si="0">SUM(E9:E25)</f>
        <v>44127.884518261097</v>
      </c>
      <c r="F26" s="181">
        <f>SUM(F9:F25)</f>
        <v>46388.98026997791</v>
      </c>
      <c r="G26" s="181">
        <f>SUM(G9:G25)</f>
        <v>47749.14654260908</v>
      </c>
      <c r="H26" s="181">
        <f t="shared" si="0"/>
        <v>51777.034298834107</v>
      </c>
      <c r="I26" s="181">
        <f t="shared" si="0"/>
        <v>54612.783141275082</v>
      </c>
      <c r="J26" s="1"/>
    </row>
    <row r="27" spans="1:10" s="7" customFormat="1" ht="13.8" thickBot="1" x14ac:dyDescent="0.3">
      <c r="A27" s="75"/>
      <c r="B27" s="76"/>
      <c r="C27" s="76"/>
      <c r="D27" s="15"/>
      <c r="E27" s="15"/>
      <c r="F27" s="15"/>
      <c r="G27" s="15"/>
      <c r="H27" s="15"/>
      <c r="I27" s="15"/>
      <c r="J27" s="1"/>
    </row>
    <row r="28" spans="1:10" s="95" customFormat="1" ht="13.8" thickBot="1" x14ac:dyDescent="0.3">
      <c r="A28" s="294" t="s">
        <v>61</v>
      </c>
      <c r="B28" s="295"/>
      <c r="C28" s="296"/>
      <c r="D28" s="181">
        <v>7800</v>
      </c>
      <c r="E28" s="181">
        <v>7800</v>
      </c>
      <c r="F28" s="181">
        <v>7800</v>
      </c>
      <c r="G28" s="181">
        <v>7800</v>
      </c>
      <c r="H28" s="181">
        <v>7800</v>
      </c>
      <c r="I28" s="181">
        <v>7800</v>
      </c>
      <c r="J28" s="96"/>
    </row>
    <row r="29" spans="1:10" ht="13.8" thickBot="1" x14ac:dyDescent="0.3">
      <c r="A29" s="75"/>
      <c r="B29" s="76"/>
      <c r="C29" s="76"/>
      <c r="D29" s="15"/>
      <c r="E29" s="15"/>
      <c r="F29" s="15"/>
      <c r="G29" s="15"/>
      <c r="H29" s="15"/>
      <c r="I29" s="15"/>
    </row>
    <row r="30" spans="1:10" ht="26.25" customHeight="1" thickBot="1" x14ac:dyDescent="0.3">
      <c r="A30" s="270" t="s">
        <v>62</v>
      </c>
      <c r="B30" s="271"/>
      <c r="C30" s="272"/>
      <c r="D30" s="181">
        <f>D26+D28</f>
        <v>49836.327675305853</v>
      </c>
      <c r="E30" s="181">
        <f t="shared" ref="E30:I30" si="1">E26+E28</f>
        <v>51927.884518261097</v>
      </c>
      <c r="F30" s="181">
        <f t="shared" si="1"/>
        <v>54188.98026997791</v>
      </c>
      <c r="G30" s="181">
        <f t="shared" si="1"/>
        <v>55549.14654260908</v>
      </c>
      <c r="H30" s="181">
        <f t="shared" si="1"/>
        <v>59577.034298834107</v>
      </c>
      <c r="I30" s="181">
        <f t="shared" si="1"/>
        <v>62412.783141275082</v>
      </c>
    </row>
    <row r="31" spans="1:10" ht="13.8" thickBot="1" x14ac:dyDescent="0.3">
      <c r="A31" s="70"/>
      <c r="B31" s="71"/>
      <c r="C31" s="71"/>
      <c r="D31" s="16"/>
      <c r="E31" s="16"/>
      <c r="F31" s="16"/>
      <c r="G31" s="16"/>
      <c r="H31" s="16"/>
      <c r="I31" s="16"/>
    </row>
    <row r="32" spans="1:10" ht="27" customHeight="1" thickBot="1" x14ac:dyDescent="0.3">
      <c r="A32" s="270" t="s">
        <v>63</v>
      </c>
      <c r="B32" s="286"/>
      <c r="C32" s="287"/>
      <c r="D32" s="181">
        <f>D30/D5</f>
        <v>4530.5752432096233</v>
      </c>
      <c r="E32" s="181">
        <f t="shared" ref="E32:I32" si="2">E30/E5</f>
        <v>4327.3237098550917</v>
      </c>
      <c r="F32" s="181">
        <f t="shared" si="2"/>
        <v>4168.3830976906083</v>
      </c>
      <c r="G32" s="181">
        <f t="shared" si="2"/>
        <v>3967.7961816149341</v>
      </c>
      <c r="H32" s="181">
        <f t="shared" si="2"/>
        <v>3971.8022865889407</v>
      </c>
      <c r="I32" s="181">
        <f t="shared" si="2"/>
        <v>3900.7989463296926</v>
      </c>
    </row>
    <row r="33" spans="1:10" ht="13.8" thickBot="1" x14ac:dyDescent="0.3">
      <c r="A33" s="70"/>
      <c r="B33" s="71"/>
      <c r="C33" s="71"/>
      <c r="D33" s="16"/>
      <c r="E33" s="16"/>
      <c r="F33" s="16"/>
      <c r="G33" s="16"/>
      <c r="H33" s="16"/>
      <c r="I33" s="16"/>
    </row>
    <row r="34" spans="1:10" ht="13.8" thickBot="1" x14ac:dyDescent="0.3">
      <c r="A34" s="177" t="s">
        <v>64</v>
      </c>
      <c r="B34" s="178"/>
      <c r="C34" s="178"/>
      <c r="D34" s="181">
        <f>'Pryse + Sensatiwiteitsanalise'!$D$4</f>
        <v>560</v>
      </c>
      <c r="E34" s="181">
        <f>'Pryse + Sensatiwiteitsanalise'!$D$4</f>
        <v>560</v>
      </c>
      <c r="F34" s="181">
        <f>'Pryse + Sensatiwiteitsanalise'!$D$4</f>
        <v>560</v>
      </c>
      <c r="G34" s="181">
        <f>'Pryse + Sensatiwiteitsanalise'!$D$4</f>
        <v>560</v>
      </c>
      <c r="H34" s="181">
        <f>'Pryse + Sensatiwiteitsanalise'!$D$4</f>
        <v>560</v>
      </c>
      <c r="I34" s="181">
        <f>'Pryse + Sensatiwiteitsanalise'!$D$4</f>
        <v>560</v>
      </c>
    </row>
    <row r="35" spans="1:10" ht="13.8" thickBot="1" x14ac:dyDescent="0.3">
      <c r="A35" s="70"/>
      <c r="B35" s="71"/>
      <c r="C35" s="71"/>
      <c r="D35" s="16"/>
      <c r="E35" s="16"/>
      <c r="F35" s="16"/>
      <c r="G35" s="16"/>
      <c r="H35" s="16"/>
      <c r="I35" s="16"/>
    </row>
    <row r="36" spans="1:10" ht="13.8" thickBot="1" x14ac:dyDescent="0.3">
      <c r="A36" s="288" t="s">
        <v>65</v>
      </c>
      <c r="B36" s="289"/>
      <c r="C36" s="290"/>
      <c r="D36" s="208">
        <f t="shared" ref="D36:I36" si="3">D32+D34</f>
        <v>5090.5752432096233</v>
      </c>
      <c r="E36" s="208">
        <f t="shared" si="3"/>
        <v>4887.3237098550917</v>
      </c>
      <c r="F36" s="208">
        <f t="shared" si="3"/>
        <v>4728.3830976906083</v>
      </c>
      <c r="G36" s="208">
        <f t="shared" si="3"/>
        <v>4527.7961816149345</v>
      </c>
      <c r="H36" s="208">
        <f t="shared" si="3"/>
        <v>4531.8022865889407</v>
      </c>
      <c r="I36" s="208">
        <f t="shared" si="3"/>
        <v>4460.7989463296926</v>
      </c>
    </row>
    <row r="37" spans="1:10" ht="13.8" thickBot="1" x14ac:dyDescent="0.3">
      <c r="A37" s="209" t="s">
        <v>66</v>
      </c>
      <c r="B37" s="210"/>
      <c r="C37" s="211"/>
      <c r="D37" s="208">
        <f>'Pryse + Sensatiwiteitsanalise'!B4</f>
        <v>3800</v>
      </c>
      <c r="E37" s="208">
        <f>$D$37</f>
        <v>3800</v>
      </c>
      <c r="F37" s="208">
        <f>$D$37</f>
        <v>3800</v>
      </c>
      <c r="G37" s="208">
        <f>$D$37</f>
        <v>3800</v>
      </c>
      <c r="H37" s="208">
        <f>$D$37</f>
        <v>3800</v>
      </c>
      <c r="I37" s="208">
        <f>$D$37</f>
        <v>3800</v>
      </c>
    </row>
    <row r="38" spans="1:10" ht="13.8" thickBot="1" x14ac:dyDescent="0.3"/>
    <row r="39" spans="1:10" customFormat="1" ht="14.4" x14ac:dyDescent="0.3">
      <c r="A39" s="297" t="s">
        <v>67</v>
      </c>
      <c r="B39" s="298"/>
      <c r="C39" s="299"/>
      <c r="D39" s="172">
        <f>D6-D26</f>
        <v>-7639.3276753058526</v>
      </c>
      <c r="E39" s="172">
        <f>E6-E26</f>
        <v>-6603.8845182610967</v>
      </c>
      <c r="F39" s="172">
        <f>F6-F26</f>
        <v>-5737.9802699779102</v>
      </c>
      <c r="G39" s="172">
        <f t="shared" ref="G39:I39" si="4">G6-G26</f>
        <v>-3971.1465426090799</v>
      </c>
      <c r="H39" s="172">
        <f t="shared" si="4"/>
        <v>-4872.0342988341072</v>
      </c>
      <c r="I39" s="172">
        <f t="shared" si="4"/>
        <v>-4580.783141275082</v>
      </c>
    </row>
    <row r="40" spans="1:10" customFormat="1" ht="15" thickBot="1" x14ac:dyDescent="0.35">
      <c r="A40" s="300" t="s">
        <v>68</v>
      </c>
      <c r="B40" s="301"/>
      <c r="C40" s="302"/>
      <c r="D40" s="173">
        <f>D6-D30</f>
        <v>-15439.327675305853</v>
      </c>
      <c r="E40" s="173">
        <f>E6-E30</f>
        <v>-14403.884518261097</v>
      </c>
      <c r="F40" s="173">
        <f>F6-F30</f>
        <v>-13537.98026997791</v>
      </c>
      <c r="G40" s="173">
        <f t="shared" ref="G40:I40" si="5">G6-G30</f>
        <v>-11771.14654260908</v>
      </c>
      <c r="H40" s="173">
        <f t="shared" si="5"/>
        <v>-12672.034298834107</v>
      </c>
      <c r="I40" s="173">
        <f t="shared" si="5"/>
        <v>-12380.783141275082</v>
      </c>
    </row>
    <row r="41" spans="1:10" ht="13.8" x14ac:dyDescent="0.25">
      <c r="A41" s="57" t="s">
        <v>69</v>
      </c>
      <c r="B41" s="59"/>
      <c r="C41" s="59"/>
      <c r="D41" s="59"/>
      <c r="E41" s="59"/>
      <c r="F41" s="59"/>
      <c r="G41" s="59"/>
      <c r="H41" s="60"/>
      <c r="I41" s="26"/>
      <c r="J41" s="26"/>
    </row>
    <row r="42" spans="1:10" ht="13.8" x14ac:dyDescent="0.25">
      <c r="A42" s="56" t="s">
        <v>70</v>
      </c>
      <c r="B42" s="62"/>
      <c r="C42" s="62"/>
      <c r="D42" s="62"/>
      <c r="E42" s="62"/>
      <c r="F42" s="62"/>
      <c r="G42" s="62"/>
      <c r="H42" s="63"/>
      <c r="I42" s="26"/>
      <c r="J42" s="26"/>
    </row>
    <row r="43" spans="1:10" ht="14.4" thickBot="1" x14ac:dyDescent="0.3">
      <c r="A43" s="55" t="s">
        <v>71</v>
      </c>
      <c r="B43" s="65"/>
      <c r="C43" s="65"/>
      <c r="D43" s="65"/>
      <c r="E43" s="65"/>
      <c r="F43" s="65"/>
      <c r="G43" s="65"/>
      <c r="H43" s="66"/>
      <c r="I43" s="26"/>
      <c r="J43" s="26"/>
    </row>
    <row r="44" spans="1:10" x14ac:dyDescent="0.25">
      <c r="A44" s="274" t="s">
        <v>72</v>
      </c>
      <c r="B44" s="275"/>
      <c r="C44" s="275"/>
      <c r="D44" s="275"/>
      <c r="E44" s="275"/>
      <c r="F44" s="275"/>
      <c r="G44" s="275"/>
      <c r="H44" s="276"/>
      <c r="I44"/>
      <c r="J44"/>
    </row>
    <row r="45" spans="1:10" x14ac:dyDescent="0.25">
      <c r="A45" s="277"/>
      <c r="B45" s="278"/>
      <c r="C45" s="278"/>
      <c r="D45" s="278"/>
      <c r="E45" s="278"/>
      <c r="F45" s="278"/>
      <c r="G45" s="278"/>
      <c r="H45" s="279"/>
      <c r="I45"/>
      <c r="J45"/>
    </row>
    <row r="46" spans="1:10" x14ac:dyDescent="0.25">
      <c r="A46" s="277"/>
      <c r="B46" s="278"/>
      <c r="C46" s="278"/>
      <c r="D46" s="278"/>
      <c r="E46" s="278"/>
      <c r="F46" s="278"/>
      <c r="G46" s="278"/>
      <c r="H46" s="279"/>
      <c r="I46"/>
      <c r="J46"/>
    </row>
    <row r="47" spans="1:10" ht="13.8" thickBot="1" x14ac:dyDescent="0.3">
      <c r="A47" s="280"/>
      <c r="B47" s="281"/>
      <c r="C47" s="281"/>
      <c r="D47" s="281"/>
      <c r="E47" s="281"/>
      <c r="F47" s="281"/>
      <c r="G47" s="281"/>
      <c r="H47" s="282"/>
      <c r="I47"/>
      <c r="J47"/>
    </row>
  </sheetData>
  <mergeCells count="13">
    <mergeCell ref="A30:C30"/>
    <mergeCell ref="S7:U7"/>
    <mergeCell ref="A44:H47"/>
    <mergeCell ref="A1:D1"/>
    <mergeCell ref="E1:G1"/>
    <mergeCell ref="A32:C32"/>
    <mergeCell ref="A36:C36"/>
    <mergeCell ref="A3:C3"/>
    <mergeCell ref="A8:C8"/>
    <mergeCell ref="A26:C26"/>
    <mergeCell ref="A28:C28"/>
    <mergeCell ref="A39:C39"/>
    <mergeCell ref="A40:C40"/>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scale="77" fitToHeight="0" orientation="portrait" r:id="rId1"/>
  <headerFooter alignWithMargins="0">
    <oddHeader>&amp;F</oddHeader>
    <oddFooter>&amp;A&amp;RPage &amp;P</oddFooter>
  </headerFooter>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43"/>
  <sheetViews>
    <sheetView zoomScale="70" zoomScaleNormal="70" zoomScaleSheetLayoutView="70" workbookViewId="0">
      <selection activeCell="H52" sqref="H52"/>
    </sheetView>
  </sheetViews>
  <sheetFormatPr defaultColWidth="9.109375" defaultRowHeight="13.2" x14ac:dyDescent="0.25"/>
  <cols>
    <col min="1" max="1" width="41.6640625" style="1" customWidth="1"/>
    <col min="2" max="2" width="15.6640625" style="1" bestFit="1" customWidth="1"/>
    <col min="3" max="4" width="14.44140625" style="1" customWidth="1"/>
    <col min="5" max="9" width="14.33203125" style="1" customWidth="1"/>
    <col min="10" max="10" width="14.44140625" style="1" customWidth="1"/>
    <col min="11" max="21" width="12.6640625" style="1" hidden="1" customWidth="1"/>
    <col min="22" max="26" width="12.6640625" style="1" customWidth="1"/>
    <col min="27" max="16384" width="9.109375" style="1"/>
  </cols>
  <sheetData>
    <row r="1" spans="1:21" ht="33" customHeight="1" thickBot="1" x14ac:dyDescent="0.3">
      <c r="A1" s="283" t="s">
        <v>73</v>
      </c>
      <c r="B1" s="284"/>
      <c r="C1" s="284"/>
      <c r="D1" s="284"/>
      <c r="E1" s="285" t="s">
        <v>74</v>
      </c>
      <c r="F1" s="285"/>
      <c r="G1" s="285"/>
      <c r="H1" s="182"/>
      <c r="I1" s="183"/>
    </row>
    <row r="2" spans="1:21" ht="16.2" thickBot="1" x14ac:dyDescent="0.35">
      <c r="A2" s="8"/>
      <c r="B2" s="9"/>
      <c r="C2" s="10"/>
      <c r="D2" s="10"/>
      <c r="E2" s="6"/>
      <c r="F2" s="6"/>
      <c r="G2" s="6"/>
      <c r="H2" s="6"/>
      <c r="I2" s="2"/>
    </row>
    <row r="3" spans="1:21" ht="27" customHeight="1" thickBot="1" x14ac:dyDescent="0.3">
      <c r="A3" s="270" t="s">
        <v>34</v>
      </c>
      <c r="B3" s="286"/>
      <c r="C3" s="286"/>
      <c r="D3" s="186"/>
      <c r="E3" s="228">
        <f>'Pryse + Sensatiwiteitsanalise'!B35</f>
        <v>7696</v>
      </c>
      <c r="F3" s="186" t="s">
        <v>35</v>
      </c>
      <c r="G3" s="187"/>
      <c r="H3" s="187"/>
      <c r="I3" s="188"/>
    </row>
    <row r="4" spans="1:21" ht="13.8" thickBot="1" x14ac:dyDescent="0.3">
      <c r="A4" s="67"/>
      <c r="B4" s="68"/>
      <c r="C4" s="68"/>
      <c r="D4" s="3"/>
      <c r="E4" s="5"/>
      <c r="F4" s="11"/>
      <c r="G4" s="4"/>
      <c r="H4" s="12"/>
      <c r="I4" s="12"/>
    </row>
    <row r="5" spans="1:21" ht="13.8" thickBot="1" x14ac:dyDescent="0.3">
      <c r="A5" s="67" t="s">
        <v>36</v>
      </c>
      <c r="B5" s="68"/>
      <c r="C5" s="68"/>
      <c r="D5" s="13">
        <v>2.5</v>
      </c>
      <c r="E5" s="13">
        <v>3</v>
      </c>
      <c r="F5" s="13">
        <v>3.5</v>
      </c>
      <c r="G5" s="13">
        <v>4</v>
      </c>
      <c r="H5" s="13">
        <v>4.5</v>
      </c>
      <c r="I5" s="13">
        <v>5</v>
      </c>
    </row>
    <row r="6" spans="1:21" ht="13.8" thickBot="1" x14ac:dyDescent="0.3">
      <c r="A6" s="177" t="s">
        <v>37</v>
      </c>
      <c r="B6" s="178"/>
      <c r="C6" s="179"/>
      <c r="D6" s="180">
        <v>17127.5</v>
      </c>
      <c r="E6" s="180">
        <v>20553</v>
      </c>
      <c r="F6" s="180">
        <v>23978.5</v>
      </c>
      <c r="G6" s="180">
        <v>27404</v>
      </c>
      <c r="H6" s="180">
        <v>30829.5</v>
      </c>
      <c r="I6" s="180">
        <v>34255</v>
      </c>
    </row>
    <row r="7" spans="1:21" ht="15" thickBot="1" x14ac:dyDescent="0.35">
      <c r="A7" s="70"/>
      <c r="B7" s="71"/>
      <c r="C7" s="71"/>
      <c r="D7" s="14"/>
      <c r="E7" s="14"/>
      <c r="F7" s="14"/>
      <c r="G7" s="14"/>
      <c r="H7" s="14"/>
      <c r="I7" s="14"/>
      <c r="S7" s="273" t="s">
        <v>75</v>
      </c>
      <c r="T7" s="273"/>
      <c r="U7" s="273"/>
    </row>
    <row r="8" spans="1:21" ht="15" thickBot="1" x14ac:dyDescent="0.35">
      <c r="A8" s="291" t="s">
        <v>39</v>
      </c>
      <c r="B8" s="292"/>
      <c r="C8" s="293"/>
      <c r="D8" s="184"/>
      <c r="E8" s="184"/>
      <c r="F8" s="184"/>
      <c r="G8" s="184"/>
      <c r="H8" s="184"/>
      <c r="I8" s="184"/>
      <c r="S8" s="77" t="s">
        <v>40</v>
      </c>
      <c r="T8" s="77" t="s">
        <v>41</v>
      </c>
      <c r="U8" s="77" t="s">
        <v>42</v>
      </c>
    </row>
    <row r="9" spans="1:21" ht="14.4" x14ac:dyDescent="0.3">
      <c r="A9" s="73" t="s">
        <v>43</v>
      </c>
      <c r="B9" s="74"/>
      <c r="C9" s="74"/>
      <c r="D9" s="108">
        <v>2996.1104</v>
      </c>
      <c r="E9" s="108">
        <v>2996.1104</v>
      </c>
      <c r="F9" s="108">
        <v>2996.1104</v>
      </c>
      <c r="G9" s="108">
        <v>2996.1104</v>
      </c>
      <c r="H9" s="108">
        <v>3184.71776</v>
      </c>
      <c r="I9" s="108">
        <v>3373.3251199999995</v>
      </c>
      <c r="S9" s="78">
        <f>D5</f>
        <v>2.5</v>
      </c>
      <c r="T9" s="78">
        <f>D26</f>
        <v>27765.277103517241</v>
      </c>
      <c r="U9" s="78">
        <f>D28</f>
        <v>5890</v>
      </c>
    </row>
    <row r="10" spans="1:21" ht="14.4" x14ac:dyDescent="0.3">
      <c r="A10" s="69" t="s">
        <v>44</v>
      </c>
      <c r="B10" s="72"/>
      <c r="C10" s="72"/>
      <c r="D10" s="109">
        <v>6929.375</v>
      </c>
      <c r="E10" s="109">
        <v>8095.25</v>
      </c>
      <c r="F10" s="109">
        <v>9261.125</v>
      </c>
      <c r="G10" s="109">
        <v>10427</v>
      </c>
      <c r="H10" s="109">
        <v>11592.875</v>
      </c>
      <c r="I10" s="109">
        <v>12758.75</v>
      </c>
      <c r="S10" s="78">
        <f>E5</f>
        <v>3</v>
      </c>
      <c r="T10" s="78">
        <f>E26</f>
        <v>30164.431237731442</v>
      </c>
      <c r="U10" s="78">
        <f>E28</f>
        <v>5890</v>
      </c>
    </row>
    <row r="11" spans="1:21" ht="14.4" x14ac:dyDescent="0.3">
      <c r="A11" s="69" t="s">
        <v>45</v>
      </c>
      <c r="B11" s="72"/>
      <c r="C11" s="72"/>
      <c r="D11" s="109">
        <v>0</v>
      </c>
      <c r="E11" s="109">
        <v>0</v>
      </c>
      <c r="F11" s="109">
        <v>0</v>
      </c>
      <c r="G11" s="109">
        <v>0</v>
      </c>
      <c r="H11" s="109">
        <v>0</v>
      </c>
      <c r="I11" s="109">
        <v>0</v>
      </c>
      <c r="S11" s="78">
        <f>F5</f>
        <v>3.5</v>
      </c>
      <c r="T11" s="78">
        <f>F26</f>
        <v>32660.654553565968</v>
      </c>
      <c r="U11" s="78">
        <f>F28</f>
        <v>5890</v>
      </c>
    </row>
    <row r="12" spans="1:21" ht="14.4" x14ac:dyDescent="0.3">
      <c r="A12" s="69" t="s">
        <v>46</v>
      </c>
      <c r="B12" s="72"/>
      <c r="C12" s="72"/>
      <c r="D12" s="109">
        <v>879.98380000000009</v>
      </c>
      <c r="E12" s="109">
        <v>909.23980000000006</v>
      </c>
      <c r="F12" s="109">
        <v>938.49580000000003</v>
      </c>
      <c r="G12" s="109">
        <v>967.75180000000012</v>
      </c>
      <c r="H12" s="109">
        <v>997.00780000000009</v>
      </c>
      <c r="I12" s="109">
        <v>1026.2638000000002</v>
      </c>
      <c r="S12" s="78">
        <f>G5</f>
        <v>4</v>
      </c>
      <c r="T12" s="78">
        <f>G26</f>
        <v>34186.186053197271</v>
      </c>
      <c r="U12" s="78">
        <f>G28</f>
        <v>5890</v>
      </c>
    </row>
    <row r="13" spans="1:21" ht="14.4" x14ac:dyDescent="0.3">
      <c r="A13" s="69" t="s">
        <v>47</v>
      </c>
      <c r="B13" s="72"/>
      <c r="C13" s="72"/>
      <c r="D13" s="109">
        <v>510.59500000000003</v>
      </c>
      <c r="E13" s="109">
        <v>515.99</v>
      </c>
      <c r="F13" s="109">
        <v>521.38499999999999</v>
      </c>
      <c r="G13" s="109">
        <v>526.78</v>
      </c>
      <c r="H13" s="109">
        <v>532.17499999999995</v>
      </c>
      <c r="I13" s="109">
        <v>537.57000000000005</v>
      </c>
      <c r="S13" s="78">
        <f>H5</f>
        <v>4.5</v>
      </c>
      <c r="T13" s="78">
        <f>H26</f>
        <v>36883.419053735015</v>
      </c>
      <c r="U13" s="78">
        <f>H28</f>
        <v>5890</v>
      </c>
    </row>
    <row r="14" spans="1:21" ht="14.4" x14ac:dyDescent="0.3">
      <c r="A14" s="69" t="s">
        <v>48</v>
      </c>
      <c r="B14" s="72"/>
      <c r="C14" s="72"/>
      <c r="D14" s="109">
        <v>1878.0160000000001</v>
      </c>
      <c r="E14" s="109">
        <v>1878.0160000000001</v>
      </c>
      <c r="F14" s="109">
        <v>1878.0160000000001</v>
      </c>
      <c r="G14" s="109">
        <v>1878.0160000000001</v>
      </c>
      <c r="H14" s="109">
        <v>1878.0160000000001</v>
      </c>
      <c r="I14" s="109">
        <v>1878.0160000000001</v>
      </c>
      <c r="S14" s="78">
        <f>I5</f>
        <v>5</v>
      </c>
      <c r="T14" s="78">
        <f>I26</f>
        <v>39677.721235893085</v>
      </c>
      <c r="U14" s="78">
        <f>I28</f>
        <v>5890</v>
      </c>
    </row>
    <row r="15" spans="1:21" x14ac:dyDescent="0.25">
      <c r="A15" s="69" t="s">
        <v>49</v>
      </c>
      <c r="B15" s="72"/>
      <c r="C15" s="72"/>
      <c r="D15" s="109">
        <v>2044.5002320000001</v>
      </c>
      <c r="E15" s="109">
        <v>2044.5002320000001</v>
      </c>
      <c r="F15" s="109">
        <v>2044.5002320000001</v>
      </c>
      <c r="G15" s="109">
        <v>2044.5002320000001</v>
      </c>
      <c r="H15" s="109">
        <v>2044.5002320000001</v>
      </c>
      <c r="I15" s="109">
        <v>2044.5002320000001</v>
      </c>
    </row>
    <row r="16" spans="1:21" x14ac:dyDescent="0.25">
      <c r="A16" s="69" t="s">
        <v>50</v>
      </c>
      <c r="B16" s="72"/>
      <c r="C16" s="72"/>
      <c r="D16" s="109">
        <v>0</v>
      </c>
      <c r="E16" s="109">
        <v>0</v>
      </c>
      <c r="F16" s="109">
        <v>0</v>
      </c>
      <c r="G16" s="109">
        <v>0</v>
      </c>
      <c r="H16" s="109">
        <v>0</v>
      </c>
      <c r="I16" s="109">
        <v>0</v>
      </c>
    </row>
    <row r="17" spans="1:10" x14ac:dyDescent="0.25">
      <c r="A17" s="69" t="s">
        <v>51</v>
      </c>
      <c r="B17" s="72"/>
      <c r="C17" s="72"/>
      <c r="D17" s="109">
        <v>8182.48</v>
      </c>
      <c r="E17" s="109">
        <v>9002.1999999999989</v>
      </c>
      <c r="F17" s="109">
        <v>9913</v>
      </c>
      <c r="G17" s="109">
        <v>9913</v>
      </c>
      <c r="H17" s="109">
        <v>10823.800000000001</v>
      </c>
      <c r="I17" s="109">
        <v>11825.680000000002</v>
      </c>
    </row>
    <row r="18" spans="1:10" x14ac:dyDescent="0.25">
      <c r="A18" s="69" t="s">
        <v>52</v>
      </c>
      <c r="B18" s="72"/>
      <c r="C18" s="72"/>
      <c r="D18" s="109"/>
      <c r="E18" s="109"/>
      <c r="F18" s="109"/>
      <c r="G18" s="109"/>
      <c r="H18" s="109"/>
      <c r="I18" s="109"/>
    </row>
    <row r="19" spans="1:10" x14ac:dyDescent="0.25">
      <c r="A19" s="69" t="s">
        <v>53</v>
      </c>
      <c r="B19" s="72"/>
      <c r="C19" s="72"/>
      <c r="D19" s="109">
        <v>1250</v>
      </c>
      <c r="E19" s="109">
        <v>1250</v>
      </c>
      <c r="F19" s="109">
        <v>1250</v>
      </c>
      <c r="G19" s="109">
        <v>1250</v>
      </c>
      <c r="H19" s="109">
        <v>1250</v>
      </c>
      <c r="I19" s="109">
        <v>1250</v>
      </c>
    </row>
    <row r="20" spans="1:10" x14ac:dyDescent="0.25">
      <c r="A20" s="69" t="s">
        <v>54</v>
      </c>
      <c r="B20" s="72"/>
      <c r="C20" s="72"/>
      <c r="D20" s="109">
        <v>1154.3999999999999</v>
      </c>
      <c r="E20" s="109">
        <v>1385.28</v>
      </c>
      <c r="F20" s="109">
        <v>1616.1599999999999</v>
      </c>
      <c r="G20" s="109">
        <v>1847.04</v>
      </c>
      <c r="H20" s="109">
        <v>2077.92</v>
      </c>
      <c r="I20" s="109">
        <v>2308.7999999999997</v>
      </c>
    </row>
    <row r="21" spans="1:10" x14ac:dyDescent="0.25">
      <c r="A21" s="69" t="s">
        <v>55</v>
      </c>
      <c r="B21" s="72"/>
      <c r="C21" s="72"/>
      <c r="D21" s="109">
        <v>0</v>
      </c>
      <c r="E21" s="109">
        <v>0</v>
      </c>
      <c r="F21" s="109">
        <v>0</v>
      </c>
      <c r="G21" s="109">
        <v>0</v>
      </c>
      <c r="H21" s="109">
        <v>0</v>
      </c>
      <c r="I21" s="109">
        <v>0</v>
      </c>
    </row>
    <row r="22" spans="1:10" s="7" customFormat="1" x14ac:dyDescent="0.25">
      <c r="A22" s="69" t="s">
        <v>56</v>
      </c>
      <c r="B22" s="72"/>
      <c r="C22" s="72"/>
      <c r="D22" s="109">
        <v>300</v>
      </c>
      <c r="E22" s="109">
        <v>300</v>
      </c>
      <c r="F22" s="109">
        <v>300</v>
      </c>
      <c r="G22" s="109">
        <v>300</v>
      </c>
      <c r="H22" s="109">
        <v>300</v>
      </c>
      <c r="I22" s="109">
        <v>300</v>
      </c>
      <c r="J22" s="1"/>
    </row>
    <row r="23" spans="1:10" s="7" customFormat="1" x14ac:dyDescent="0.25">
      <c r="A23" s="69" t="s">
        <v>57</v>
      </c>
      <c r="B23" s="72"/>
      <c r="C23" s="72"/>
      <c r="D23" s="109">
        <v>0</v>
      </c>
      <c r="E23" s="109">
        <v>0</v>
      </c>
      <c r="F23" s="109">
        <v>0</v>
      </c>
      <c r="G23" s="109">
        <v>0</v>
      </c>
      <c r="H23" s="109">
        <v>0</v>
      </c>
      <c r="I23" s="109">
        <v>0</v>
      </c>
      <c r="J23" s="1"/>
    </row>
    <row r="24" spans="1:10" s="7" customFormat="1" x14ac:dyDescent="0.25">
      <c r="A24" s="69" t="s">
        <v>58</v>
      </c>
      <c r="B24" s="72"/>
      <c r="C24" s="72"/>
      <c r="D24" s="109">
        <v>0</v>
      </c>
      <c r="E24" s="109">
        <v>0</v>
      </c>
      <c r="F24" s="109">
        <v>0</v>
      </c>
      <c r="G24" s="109">
        <v>0</v>
      </c>
      <c r="H24" s="109">
        <v>0</v>
      </c>
      <c r="I24" s="109">
        <v>0</v>
      </c>
      <c r="J24" s="1"/>
    </row>
    <row r="25" spans="1:10" s="7" customFormat="1" ht="13.8" thickBot="1" x14ac:dyDescent="0.3">
      <c r="A25" s="69" t="s">
        <v>59</v>
      </c>
      <c r="B25" s="72"/>
      <c r="C25" s="72"/>
      <c r="D25" s="109">
        <v>1639.8166715172426</v>
      </c>
      <c r="E25" s="109">
        <v>1787.8448057314445</v>
      </c>
      <c r="F25" s="109">
        <v>1941.8621215659693</v>
      </c>
      <c r="G25" s="109">
        <v>2035.9876211972714</v>
      </c>
      <c r="H25" s="109">
        <v>2202.407261735018</v>
      </c>
      <c r="I25" s="109">
        <v>2374.8160838930876</v>
      </c>
      <c r="J25" s="1"/>
    </row>
    <row r="26" spans="1:10" s="7" customFormat="1" ht="26.25" customHeight="1" thickBot="1" x14ac:dyDescent="0.3">
      <c r="A26" s="270" t="s">
        <v>60</v>
      </c>
      <c r="B26" s="271"/>
      <c r="C26" s="272"/>
      <c r="D26" s="181">
        <f>SUM(D9:D25)</f>
        <v>27765.277103517241</v>
      </c>
      <c r="E26" s="181">
        <f t="shared" ref="E26:I26" si="0">SUM(E9:E25)</f>
        <v>30164.431237731442</v>
      </c>
      <c r="F26" s="181">
        <f t="shared" si="0"/>
        <v>32660.654553565968</v>
      </c>
      <c r="G26" s="181">
        <f t="shared" si="0"/>
        <v>34186.186053197271</v>
      </c>
      <c r="H26" s="181">
        <f t="shared" si="0"/>
        <v>36883.419053735015</v>
      </c>
      <c r="I26" s="181">
        <f t="shared" si="0"/>
        <v>39677.721235893085</v>
      </c>
      <c r="J26" s="1"/>
    </row>
    <row r="27" spans="1:10" s="7" customFormat="1" ht="13.8" thickBot="1" x14ac:dyDescent="0.3">
      <c r="A27" s="75"/>
      <c r="B27" s="76"/>
      <c r="C27" s="76"/>
      <c r="D27" s="15"/>
      <c r="E27" s="15"/>
      <c r="F27" s="15"/>
      <c r="G27" s="15"/>
      <c r="H27" s="15"/>
      <c r="I27" s="15"/>
      <c r="J27" s="1"/>
    </row>
    <row r="28" spans="1:10" s="95" customFormat="1" ht="13.8" thickBot="1" x14ac:dyDescent="0.3">
      <c r="A28" s="294" t="s">
        <v>61</v>
      </c>
      <c r="B28" s="295"/>
      <c r="C28" s="296"/>
      <c r="D28" s="181">
        <v>5890</v>
      </c>
      <c r="E28" s="181">
        <v>5890</v>
      </c>
      <c r="F28" s="181">
        <v>5890</v>
      </c>
      <c r="G28" s="181">
        <v>5890</v>
      </c>
      <c r="H28" s="181">
        <v>5890</v>
      </c>
      <c r="I28" s="181">
        <v>5890</v>
      </c>
      <c r="J28" s="96"/>
    </row>
    <row r="29" spans="1:10" ht="13.8" thickBot="1" x14ac:dyDescent="0.3">
      <c r="A29" s="75"/>
      <c r="B29" s="76"/>
      <c r="C29" s="76"/>
      <c r="D29" s="15"/>
      <c r="E29" s="15"/>
      <c r="F29" s="15"/>
      <c r="G29" s="15"/>
      <c r="H29" s="15"/>
      <c r="I29" s="15"/>
    </row>
    <row r="30" spans="1:10" ht="26.25" customHeight="1" thickBot="1" x14ac:dyDescent="0.3">
      <c r="A30" s="270" t="s">
        <v>62</v>
      </c>
      <c r="B30" s="271"/>
      <c r="C30" s="272"/>
      <c r="D30" s="181">
        <f>D26+D28</f>
        <v>33655.277103517241</v>
      </c>
      <c r="E30" s="181">
        <f t="shared" ref="E30:I30" si="1">E26+E28</f>
        <v>36054.431237731442</v>
      </c>
      <c r="F30" s="181">
        <f t="shared" si="1"/>
        <v>38550.654553565968</v>
      </c>
      <c r="G30" s="181">
        <f t="shared" si="1"/>
        <v>40076.186053197271</v>
      </c>
      <c r="H30" s="181">
        <f t="shared" si="1"/>
        <v>42773.419053735015</v>
      </c>
      <c r="I30" s="181">
        <f t="shared" si="1"/>
        <v>45567.721235893085</v>
      </c>
    </row>
    <row r="31" spans="1:10" ht="13.8" thickBot="1" x14ac:dyDescent="0.3">
      <c r="A31" s="70"/>
      <c r="B31" s="71"/>
      <c r="C31" s="71"/>
      <c r="D31" s="16"/>
      <c r="E31" s="16"/>
      <c r="F31" s="16"/>
      <c r="G31" s="16"/>
      <c r="H31" s="16"/>
      <c r="I31" s="16"/>
    </row>
    <row r="32" spans="1:10" ht="27" customHeight="1" thickBot="1" x14ac:dyDescent="0.3">
      <c r="A32" s="270" t="s">
        <v>63</v>
      </c>
      <c r="B32" s="286"/>
      <c r="C32" s="287"/>
      <c r="D32" s="181">
        <f>D30/D5</f>
        <v>13462.110841406897</v>
      </c>
      <c r="E32" s="181">
        <f t="shared" ref="E32:I32" si="2">E30/E5</f>
        <v>12018.14374591048</v>
      </c>
      <c r="F32" s="181">
        <f t="shared" si="2"/>
        <v>11014.472729590276</v>
      </c>
      <c r="G32" s="181">
        <f t="shared" si="2"/>
        <v>10019.046513299318</v>
      </c>
      <c r="H32" s="181">
        <f t="shared" si="2"/>
        <v>9505.2042341633369</v>
      </c>
      <c r="I32" s="181">
        <f t="shared" si="2"/>
        <v>9113.5442471786173</v>
      </c>
    </row>
    <row r="33" spans="1:10" ht="13.8" thickBot="1" x14ac:dyDescent="0.3">
      <c r="A33" s="70"/>
      <c r="B33" s="71"/>
      <c r="C33" s="71"/>
      <c r="D33" s="16"/>
      <c r="E33" s="16"/>
      <c r="F33" s="16"/>
      <c r="G33" s="16"/>
      <c r="H33" s="16"/>
      <c r="I33" s="16"/>
    </row>
    <row r="34" spans="1:10" ht="13.8" thickBot="1" x14ac:dyDescent="0.3">
      <c r="A34" s="177" t="s">
        <v>64</v>
      </c>
      <c r="B34" s="178"/>
      <c r="C34" s="178"/>
      <c r="D34" s="181">
        <f>'Pryse + Sensatiwiteitsanalise'!$D$5</f>
        <v>204</v>
      </c>
      <c r="E34" s="181">
        <f>'Pryse + Sensatiwiteitsanalise'!$D$5</f>
        <v>204</v>
      </c>
      <c r="F34" s="181">
        <f>'Pryse + Sensatiwiteitsanalise'!$D$5</f>
        <v>204</v>
      </c>
      <c r="G34" s="181">
        <f>'Pryse + Sensatiwiteitsanalise'!$D$5</f>
        <v>204</v>
      </c>
      <c r="H34" s="181">
        <f>'Pryse + Sensatiwiteitsanalise'!$D$5</f>
        <v>204</v>
      </c>
      <c r="I34" s="181">
        <f>'Pryse + Sensatiwiteitsanalise'!$D$5</f>
        <v>204</v>
      </c>
    </row>
    <row r="35" spans="1:10" ht="13.8" thickBot="1" x14ac:dyDescent="0.3">
      <c r="A35" s="70"/>
      <c r="B35" s="71"/>
      <c r="C35" s="71"/>
      <c r="D35" s="16"/>
      <c r="E35" s="16"/>
      <c r="F35" s="16"/>
      <c r="G35" s="16"/>
      <c r="H35" s="16"/>
      <c r="I35" s="16"/>
    </row>
    <row r="36" spans="1:10" ht="13.8" thickBot="1" x14ac:dyDescent="0.3">
      <c r="A36" s="288" t="s">
        <v>65</v>
      </c>
      <c r="B36" s="289"/>
      <c r="C36" s="290"/>
      <c r="D36" s="208">
        <v>15086.364978563908</v>
      </c>
      <c r="E36" s="208">
        <v>13647.959295739733</v>
      </c>
      <c r="F36" s="208">
        <v>12648.189086238886</v>
      </c>
      <c r="G36" s="208">
        <v>11656.315244594562</v>
      </c>
      <c r="H36" s="208">
        <v>11144.39452590954</v>
      </c>
      <c r="I36" s="208">
        <v>10754.221645723015</v>
      </c>
    </row>
    <row r="37" spans="1:10" ht="13.8" thickBot="1" x14ac:dyDescent="0.3">
      <c r="A37" s="209" t="s">
        <v>66</v>
      </c>
      <c r="B37" s="210"/>
      <c r="C37" s="211"/>
      <c r="D37" s="208">
        <f>'Pryse + Sensatiwiteitsanalise'!B5</f>
        <v>7900</v>
      </c>
      <c r="E37" s="208">
        <f>$D$37</f>
        <v>7900</v>
      </c>
      <c r="F37" s="208">
        <f>$D$37</f>
        <v>7900</v>
      </c>
      <c r="G37" s="208">
        <f>$D$37</f>
        <v>7900</v>
      </c>
      <c r="H37" s="208">
        <f>$D$37</f>
        <v>7900</v>
      </c>
      <c r="I37" s="208">
        <f>$D$37</f>
        <v>7900</v>
      </c>
    </row>
    <row r="38" spans="1:10" ht="13.8" thickBot="1" x14ac:dyDescent="0.3"/>
    <row r="39" spans="1:10" customFormat="1" ht="14.4" x14ac:dyDescent="0.3">
      <c r="A39" s="297" t="s">
        <v>67</v>
      </c>
      <c r="B39" s="298"/>
      <c r="C39" s="299"/>
      <c r="D39" s="172">
        <f>D6-D26</f>
        <v>-10637.777103517241</v>
      </c>
      <c r="E39" s="172">
        <f>E6-E26</f>
        <v>-9611.4312377314418</v>
      </c>
      <c r="F39" s="172">
        <f>F6-F26</f>
        <v>-8682.1545535659679</v>
      </c>
      <c r="G39" s="172">
        <f t="shared" ref="G39:H39" si="3">G6-G26</f>
        <v>-6782.1860531972707</v>
      </c>
      <c r="H39" s="172">
        <f t="shared" si="3"/>
        <v>-6053.919053735015</v>
      </c>
      <c r="I39" s="172">
        <f>I6-I26</f>
        <v>-5422.7212358930847</v>
      </c>
    </row>
    <row r="40" spans="1:10" customFormat="1" ht="15" thickBot="1" x14ac:dyDescent="0.35">
      <c r="A40" s="300" t="s">
        <v>68</v>
      </c>
      <c r="B40" s="301"/>
      <c r="C40" s="302"/>
      <c r="D40" s="173">
        <f>D6-D30</f>
        <v>-16527.777103517241</v>
      </c>
      <c r="E40" s="173">
        <f>E6-E30</f>
        <v>-15501.431237731442</v>
      </c>
      <c r="F40" s="173">
        <f>F6-F30</f>
        <v>-14572.154553565968</v>
      </c>
      <c r="G40" s="173">
        <f t="shared" ref="G40:I40" si="4">G6-G30</f>
        <v>-12672.186053197271</v>
      </c>
      <c r="H40" s="173">
        <f t="shared" si="4"/>
        <v>-11943.919053735015</v>
      </c>
      <c r="I40" s="173">
        <f t="shared" si="4"/>
        <v>-11312.721235893085</v>
      </c>
    </row>
    <row r="41" spans="1:10" ht="14.4" x14ac:dyDescent="0.25">
      <c r="A41" s="58" t="s">
        <v>76</v>
      </c>
      <c r="B41" s="59"/>
      <c r="C41" s="59"/>
      <c r="D41" s="59"/>
      <c r="E41" s="59"/>
      <c r="F41" s="59"/>
      <c r="G41" s="59"/>
      <c r="H41" s="60"/>
      <c r="I41" s="26"/>
      <c r="J41" s="26"/>
    </row>
    <row r="42" spans="1:10" ht="14.4" x14ac:dyDescent="0.25">
      <c r="A42" s="61" t="s">
        <v>70</v>
      </c>
      <c r="B42" s="62"/>
      <c r="C42" s="62"/>
      <c r="D42" s="62"/>
      <c r="E42" s="62"/>
      <c r="F42" s="62"/>
      <c r="G42" s="62"/>
      <c r="H42" s="63"/>
      <c r="I42" s="26"/>
      <c r="J42" s="26"/>
    </row>
    <row r="43" spans="1:10" ht="15" thickBot="1" x14ac:dyDescent="0.3">
      <c r="A43" s="64" t="s">
        <v>71</v>
      </c>
      <c r="B43" s="65"/>
      <c r="C43" s="65"/>
      <c r="D43" s="65"/>
      <c r="E43" s="65"/>
      <c r="F43" s="65"/>
      <c r="G43" s="65"/>
      <c r="H43" s="66"/>
      <c r="I43" s="26"/>
      <c r="J43" s="26"/>
    </row>
  </sheetData>
  <mergeCells count="12">
    <mergeCell ref="A39:C39"/>
    <mergeCell ref="A40:C40"/>
    <mergeCell ref="S7:U7"/>
    <mergeCell ref="A1:D1"/>
    <mergeCell ref="E1:G1"/>
    <mergeCell ref="A32:C32"/>
    <mergeCell ref="A36:C36"/>
    <mergeCell ref="A3:C3"/>
    <mergeCell ref="A8:C8"/>
    <mergeCell ref="A26:C26"/>
    <mergeCell ref="A28:C28"/>
    <mergeCell ref="A30:C30"/>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scale="64" fitToHeight="0" orientation="portrait" r:id="rId1"/>
  <headerFooter>
    <oddHeader>&amp;F</oddHeader>
    <oddFooter>&amp;A&amp;RPage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1"/>
  <sheetViews>
    <sheetView topLeftCell="A3" zoomScale="85" zoomScaleNormal="85" workbookViewId="0">
      <selection activeCell="K36" sqref="K36"/>
    </sheetView>
  </sheetViews>
  <sheetFormatPr defaultRowHeight="13.2" x14ac:dyDescent="0.25"/>
  <cols>
    <col min="1" max="1" width="54" customWidth="1"/>
    <col min="4" max="4" width="15.88671875" bestFit="1" customWidth="1"/>
    <col min="5" max="5" width="13.6640625" customWidth="1"/>
    <col min="6" max="6" width="18.33203125" customWidth="1"/>
    <col min="7" max="7" width="8.88671875" hidden="1" customWidth="1"/>
  </cols>
  <sheetData>
    <row r="1" spans="1:9" ht="50.4" customHeight="1" thickBot="1" x14ac:dyDescent="0.3">
      <c r="A1" s="303" t="s">
        <v>77</v>
      </c>
      <c r="B1" s="304"/>
      <c r="C1" s="304"/>
      <c r="D1" s="304"/>
      <c r="E1" s="305" t="s">
        <v>78</v>
      </c>
      <c r="F1" s="305"/>
      <c r="G1" s="305"/>
      <c r="H1" s="87"/>
      <c r="I1" s="87"/>
    </row>
    <row r="2" spans="1:9" ht="16.2" thickBot="1" x14ac:dyDescent="0.35">
      <c r="A2" s="79"/>
      <c r="B2" s="89"/>
      <c r="C2" s="103"/>
      <c r="D2" s="103"/>
      <c r="E2" s="92"/>
      <c r="F2" s="88"/>
      <c r="G2" s="88"/>
      <c r="H2" s="87"/>
      <c r="I2" s="26"/>
    </row>
    <row r="3" spans="1:9" ht="40.200000000000003" thickBot="1" x14ac:dyDescent="0.3">
      <c r="A3" s="191" t="s">
        <v>79</v>
      </c>
      <c r="B3" s="192"/>
      <c r="C3" s="192"/>
      <c r="D3" s="193" t="s">
        <v>80</v>
      </c>
      <c r="E3" s="194" t="s">
        <v>81</v>
      </c>
      <c r="F3" s="192"/>
      <c r="G3" s="192"/>
      <c r="H3" s="87"/>
      <c r="I3" s="87"/>
    </row>
    <row r="4" spans="1:9" x14ac:dyDescent="0.25">
      <c r="A4" s="117" t="s">
        <v>82</v>
      </c>
      <c r="B4" s="118"/>
      <c r="C4" s="118"/>
      <c r="D4" s="119">
        <f>'Pryse + Sensatiwiteitsanalise'!B6</f>
        <v>21767</v>
      </c>
      <c r="E4" s="120">
        <v>0.5</v>
      </c>
      <c r="F4" s="119"/>
      <c r="G4" s="120">
        <v>0.5</v>
      </c>
      <c r="H4" s="87"/>
      <c r="I4" s="87"/>
    </row>
    <row r="5" spans="1:9" x14ac:dyDescent="0.25">
      <c r="A5" s="117" t="s">
        <v>83</v>
      </c>
      <c r="B5" s="118"/>
      <c r="C5" s="118"/>
      <c r="D5" s="119">
        <f>'Pryse + Sensatiwiteitsanalise'!B7-D42</f>
        <v>18150</v>
      </c>
      <c r="E5" s="120">
        <v>0.16</v>
      </c>
      <c r="F5" s="119"/>
      <c r="G5" s="120">
        <v>0.16</v>
      </c>
      <c r="H5" s="87"/>
      <c r="I5" s="87"/>
    </row>
    <row r="6" spans="1:9" x14ac:dyDescent="0.25">
      <c r="A6" s="117" t="s">
        <v>84</v>
      </c>
      <c r="B6" s="118"/>
      <c r="C6" s="118"/>
      <c r="D6" s="119">
        <f>'Pryse + Sensatiwiteitsanalise'!B8</f>
        <v>16083</v>
      </c>
      <c r="E6" s="120">
        <v>0.18</v>
      </c>
      <c r="F6" s="119"/>
      <c r="G6" s="120">
        <v>0.18</v>
      </c>
      <c r="H6" s="87"/>
      <c r="I6" s="87"/>
    </row>
    <row r="7" spans="1:9" x14ac:dyDescent="0.25">
      <c r="A7" s="117" t="s">
        <v>85</v>
      </c>
      <c r="B7" s="118"/>
      <c r="C7" s="118"/>
      <c r="D7" s="119">
        <f>'Pryse + Sensatiwiteitsanalise'!B9</f>
        <v>5467</v>
      </c>
      <c r="E7" s="120">
        <v>0.1</v>
      </c>
      <c r="F7" s="119"/>
      <c r="G7" s="120">
        <v>0.1</v>
      </c>
      <c r="H7" s="87"/>
      <c r="I7" s="87"/>
    </row>
    <row r="8" spans="1:9" x14ac:dyDescent="0.25">
      <c r="A8" s="117" t="s">
        <v>86</v>
      </c>
      <c r="B8" s="118"/>
      <c r="C8" s="118"/>
      <c r="D8" s="119">
        <f>'Pryse + Sensatiwiteitsanalise'!B10</f>
        <v>3517</v>
      </c>
      <c r="E8" s="120">
        <v>0.06</v>
      </c>
      <c r="F8" s="119"/>
      <c r="G8" s="120">
        <v>0.06</v>
      </c>
      <c r="H8" s="87"/>
      <c r="I8" s="87"/>
    </row>
    <row r="9" spans="1:9" ht="13.8" thickBot="1" x14ac:dyDescent="0.3">
      <c r="A9" s="121" t="s">
        <v>87</v>
      </c>
      <c r="B9" s="122"/>
      <c r="C9" s="122"/>
      <c r="D9" s="119">
        <f>'Pryse + Sensatiwiteitsanalise'!B11</f>
        <v>0</v>
      </c>
      <c r="E9" s="124"/>
      <c r="F9" s="119"/>
      <c r="G9" s="123"/>
      <c r="H9" s="87"/>
      <c r="I9" s="87"/>
    </row>
    <row r="10" spans="1:9" ht="13.8" thickBot="1" x14ac:dyDescent="0.3">
      <c r="A10" s="270" t="s">
        <v>88</v>
      </c>
      <c r="B10" s="271"/>
      <c r="C10" s="271"/>
      <c r="D10" s="195">
        <f>(D4*E4)+(D6*E6)+(D7*E7)+(D8*E8)+(D5*E5)</f>
        <v>17440.160000000003</v>
      </c>
      <c r="E10" s="195">
        <f>(E4*F4)+(E6*F6)+(E7*F7)+(E8*F8)+(E5*F5)</f>
        <v>0</v>
      </c>
      <c r="F10" s="195"/>
      <c r="G10" s="195" t="e">
        <f>(G4*#REF!)+(G6*#REF!)+(G7*#REF!)+(G8*#REF!)+(G5*#REF!)</f>
        <v>#REF!</v>
      </c>
      <c r="H10" s="87"/>
      <c r="I10" s="87"/>
    </row>
    <row r="11" spans="1:9" ht="13.8" thickBot="1" x14ac:dyDescent="0.3">
      <c r="A11" s="67"/>
      <c r="B11" s="68"/>
      <c r="C11" s="68"/>
      <c r="D11" s="81"/>
      <c r="E11" s="116"/>
      <c r="F11" s="80"/>
      <c r="G11" s="68"/>
      <c r="H11" s="87"/>
      <c r="I11" s="87"/>
    </row>
    <row r="12" spans="1:9" ht="13.8" thickBot="1" x14ac:dyDescent="0.3">
      <c r="A12" s="67" t="s">
        <v>36</v>
      </c>
      <c r="B12" s="68"/>
      <c r="C12" s="68"/>
      <c r="D12" s="115">
        <v>3</v>
      </c>
      <c r="E12" s="115">
        <v>4</v>
      </c>
      <c r="F12" s="115"/>
      <c r="G12" s="115">
        <v>0</v>
      </c>
      <c r="H12" s="87"/>
      <c r="I12" s="87"/>
    </row>
    <row r="13" spans="1:9" ht="13.8" thickBot="1" x14ac:dyDescent="0.3">
      <c r="A13" s="177" t="s">
        <v>37</v>
      </c>
      <c r="B13" s="178"/>
      <c r="C13" s="179"/>
      <c r="D13" s="196">
        <v>53975.979999999996</v>
      </c>
      <c r="E13" s="196">
        <v>69634.64</v>
      </c>
      <c r="F13" s="196"/>
      <c r="G13" s="196">
        <v>0</v>
      </c>
      <c r="H13" s="87"/>
      <c r="I13" s="87"/>
    </row>
    <row r="14" spans="1:9" ht="13.8" thickBot="1" x14ac:dyDescent="0.3">
      <c r="A14" s="70"/>
      <c r="B14" s="71"/>
      <c r="C14" s="71"/>
      <c r="D14" s="110"/>
      <c r="E14" s="110"/>
      <c r="F14" s="110"/>
      <c r="G14" s="110"/>
      <c r="H14" s="87"/>
      <c r="I14" s="87"/>
    </row>
    <row r="15" spans="1:9" ht="13.8" thickBot="1" x14ac:dyDescent="0.3">
      <c r="A15" s="308" t="s">
        <v>39</v>
      </c>
      <c r="B15" s="309"/>
      <c r="C15" s="310"/>
      <c r="D15" s="189"/>
      <c r="E15" s="189"/>
      <c r="F15" s="189"/>
      <c r="G15" s="189"/>
      <c r="H15" s="87"/>
      <c r="I15" s="87"/>
    </row>
    <row r="16" spans="1:9" x14ac:dyDescent="0.25">
      <c r="A16" s="73" t="s">
        <v>43</v>
      </c>
      <c r="B16" s="74"/>
      <c r="C16" s="74"/>
      <c r="D16" s="108">
        <v>2224</v>
      </c>
      <c r="E16" s="111">
        <v>2224</v>
      </c>
      <c r="F16" s="111"/>
      <c r="G16" s="111">
        <v>0</v>
      </c>
      <c r="H16" s="87"/>
      <c r="I16" s="87"/>
    </row>
    <row r="17" spans="1:9" x14ac:dyDescent="0.25">
      <c r="A17" s="69" t="s">
        <v>44</v>
      </c>
      <c r="B17" s="72"/>
      <c r="C17" s="72"/>
      <c r="D17" s="109">
        <v>11076.7</v>
      </c>
      <c r="E17" s="112">
        <v>11076.7</v>
      </c>
      <c r="F17" s="112"/>
      <c r="G17" s="112">
        <v>0</v>
      </c>
      <c r="H17" s="87"/>
      <c r="I17" s="87"/>
    </row>
    <row r="18" spans="1:9" x14ac:dyDescent="0.25">
      <c r="A18" s="69" t="s">
        <v>45</v>
      </c>
      <c r="B18" s="72"/>
      <c r="C18" s="72"/>
      <c r="D18" s="109">
        <v>800</v>
      </c>
      <c r="E18" s="112">
        <v>800</v>
      </c>
      <c r="F18" s="112"/>
      <c r="G18" s="112">
        <v>0</v>
      </c>
      <c r="H18" s="87"/>
      <c r="I18" s="87"/>
    </row>
    <row r="19" spans="1:9" x14ac:dyDescent="0.25">
      <c r="A19" s="69" t="s">
        <v>46</v>
      </c>
      <c r="B19" s="72"/>
      <c r="C19" s="72"/>
      <c r="D19" s="109">
        <v>1700.5778600000001</v>
      </c>
      <c r="E19" s="112">
        <v>1748.0498600000001</v>
      </c>
      <c r="F19" s="112"/>
      <c r="G19" s="112">
        <v>0</v>
      </c>
      <c r="H19" s="87"/>
      <c r="I19" s="87"/>
    </row>
    <row r="20" spans="1:9" x14ac:dyDescent="0.25">
      <c r="A20" s="69" t="s">
        <v>47</v>
      </c>
      <c r="B20" s="72"/>
      <c r="C20" s="72"/>
      <c r="D20" s="109">
        <v>1345.8992506072875</v>
      </c>
      <c r="E20" s="112">
        <v>1356.6875506072874</v>
      </c>
      <c r="F20" s="112"/>
      <c r="G20" s="112">
        <v>0</v>
      </c>
      <c r="H20" s="87"/>
      <c r="I20" s="87"/>
    </row>
    <row r="21" spans="1:9" x14ac:dyDescent="0.25">
      <c r="A21" s="69" t="s">
        <v>48</v>
      </c>
      <c r="B21" s="72"/>
      <c r="C21" s="72"/>
      <c r="D21" s="109">
        <v>1240.455244</v>
      </c>
      <c r="E21" s="112">
        <v>1240.455244</v>
      </c>
      <c r="F21" s="112"/>
      <c r="G21" s="112">
        <v>0</v>
      </c>
      <c r="H21" s="87"/>
      <c r="I21" s="87"/>
    </row>
    <row r="22" spans="1:9" x14ac:dyDescent="0.25">
      <c r="A22" s="69" t="s">
        <v>49</v>
      </c>
      <c r="B22" s="72"/>
      <c r="C22" s="72"/>
      <c r="D22" s="109">
        <v>4339.6998800000001</v>
      </c>
      <c r="E22" s="112">
        <v>4502.4710480000003</v>
      </c>
      <c r="F22" s="112"/>
      <c r="G22" s="112">
        <v>0</v>
      </c>
      <c r="H22" s="87"/>
      <c r="I22" s="87"/>
    </row>
    <row r="23" spans="1:9" x14ac:dyDescent="0.25">
      <c r="A23" s="69" t="s">
        <v>50</v>
      </c>
      <c r="B23" s="72"/>
      <c r="C23" s="72"/>
      <c r="D23" s="109">
        <v>0</v>
      </c>
      <c r="E23" s="112">
        <v>0</v>
      </c>
      <c r="F23" s="112"/>
      <c r="G23" s="112">
        <v>0</v>
      </c>
      <c r="H23" s="87"/>
      <c r="I23" s="87"/>
    </row>
    <row r="24" spans="1:9" s="1" customFormat="1" x14ac:dyDescent="0.25">
      <c r="A24" s="69" t="s">
        <v>51</v>
      </c>
      <c r="B24" s="72"/>
      <c r="C24" s="72"/>
      <c r="D24" s="109">
        <v>10177</v>
      </c>
      <c r="E24" s="109">
        <v>10177</v>
      </c>
      <c r="F24" s="109"/>
      <c r="G24" s="109"/>
    </row>
    <row r="25" spans="1:9" x14ac:dyDescent="0.25">
      <c r="A25" s="69" t="s">
        <v>52</v>
      </c>
      <c r="B25" s="72"/>
      <c r="C25" s="72"/>
      <c r="D25" s="109">
        <v>0</v>
      </c>
      <c r="E25" s="112">
        <v>0</v>
      </c>
      <c r="F25" s="112"/>
      <c r="G25" s="112">
        <v>0</v>
      </c>
      <c r="H25" s="87"/>
      <c r="I25" s="87"/>
    </row>
    <row r="26" spans="1:9" x14ac:dyDescent="0.25">
      <c r="A26" s="69" t="s">
        <v>53</v>
      </c>
      <c r="B26" s="72"/>
      <c r="C26" s="72"/>
      <c r="D26" s="109">
        <v>3560</v>
      </c>
      <c r="E26" s="112">
        <v>3560</v>
      </c>
      <c r="F26" s="112"/>
      <c r="G26" s="112">
        <v>0</v>
      </c>
      <c r="H26" s="87"/>
      <c r="I26" s="87"/>
    </row>
    <row r="27" spans="1:9" x14ac:dyDescent="0.25">
      <c r="A27" s="69" t="s">
        <v>54</v>
      </c>
      <c r="B27" s="72"/>
      <c r="C27" s="72"/>
      <c r="D27" s="109">
        <v>539.75979999999993</v>
      </c>
      <c r="E27" s="112">
        <v>696.34640000000002</v>
      </c>
      <c r="F27" s="112"/>
      <c r="G27" s="112">
        <v>0</v>
      </c>
      <c r="H27" s="87"/>
      <c r="I27" s="87"/>
    </row>
    <row r="28" spans="1:9" x14ac:dyDescent="0.25">
      <c r="A28" s="69" t="s">
        <v>55</v>
      </c>
      <c r="B28" s="72"/>
      <c r="C28" s="72"/>
      <c r="D28" s="109">
        <v>0</v>
      </c>
      <c r="E28" s="112">
        <v>0</v>
      </c>
      <c r="F28" s="112"/>
      <c r="G28" s="112">
        <v>0</v>
      </c>
      <c r="H28" s="87"/>
      <c r="I28" s="87"/>
    </row>
    <row r="29" spans="1:9" x14ac:dyDescent="0.25">
      <c r="A29" s="69" t="s">
        <v>56</v>
      </c>
      <c r="B29" s="72"/>
      <c r="C29" s="72"/>
      <c r="D29" s="109">
        <v>300</v>
      </c>
      <c r="E29" s="112">
        <v>300</v>
      </c>
      <c r="F29" s="112"/>
      <c r="G29" s="112">
        <v>0</v>
      </c>
      <c r="H29" s="87"/>
      <c r="I29" s="87"/>
    </row>
    <row r="30" spans="1:9" x14ac:dyDescent="0.25">
      <c r="A30" s="69" t="s">
        <v>57</v>
      </c>
      <c r="B30" s="72"/>
      <c r="C30" s="72"/>
      <c r="D30" s="109">
        <v>1800</v>
      </c>
      <c r="E30" s="112">
        <v>1800</v>
      </c>
      <c r="F30" s="112"/>
      <c r="G30" s="112">
        <v>0</v>
      </c>
      <c r="H30" s="87"/>
      <c r="I30" s="87"/>
    </row>
    <row r="31" spans="1:9" x14ac:dyDescent="0.25">
      <c r="A31" s="69" t="s">
        <v>58</v>
      </c>
      <c r="B31" s="72"/>
      <c r="C31" s="72"/>
      <c r="D31" s="109">
        <v>0</v>
      </c>
      <c r="E31" s="112">
        <v>0</v>
      </c>
      <c r="F31" s="112"/>
      <c r="G31" s="112">
        <v>0</v>
      </c>
      <c r="H31" s="87"/>
      <c r="I31" s="87"/>
    </row>
    <row r="32" spans="1:9" ht="13.8" thickBot="1" x14ac:dyDescent="0.3">
      <c r="A32" s="69" t="s">
        <v>59</v>
      </c>
      <c r="B32" s="72"/>
      <c r="C32" s="72"/>
      <c r="D32" s="109">
        <v>1982.4654070331781</v>
      </c>
      <c r="E32" s="112">
        <v>2004.650468528178</v>
      </c>
      <c r="F32" s="112"/>
      <c r="G32" s="112">
        <v>0</v>
      </c>
      <c r="H32" s="87"/>
      <c r="I32" s="87"/>
    </row>
    <row r="33" spans="1:9" ht="13.8" thickBot="1" x14ac:dyDescent="0.3">
      <c r="A33" s="270" t="s">
        <v>60</v>
      </c>
      <c r="B33" s="271"/>
      <c r="C33" s="272"/>
      <c r="D33" s="197">
        <f>SUM(D16:D32)</f>
        <v>41086.557441640471</v>
      </c>
      <c r="E33" s="197">
        <f t="shared" ref="E33" si="0">SUM(E16:E32)</f>
        <v>41486.360571135461</v>
      </c>
      <c r="F33" s="197"/>
      <c r="G33" s="197">
        <v>0</v>
      </c>
      <c r="H33" s="87"/>
      <c r="I33" s="87"/>
    </row>
    <row r="34" spans="1:9" ht="13.8" thickBot="1" x14ac:dyDescent="0.3">
      <c r="A34" s="75"/>
      <c r="B34" s="76"/>
      <c r="C34" s="76"/>
      <c r="D34" s="113"/>
      <c r="E34" s="113"/>
      <c r="F34" s="113"/>
      <c r="G34" s="113"/>
      <c r="H34" s="87"/>
      <c r="I34" s="87"/>
    </row>
    <row r="35" spans="1:9" s="127" customFormat="1" ht="13.8" thickBot="1" x14ac:dyDescent="0.3">
      <c r="A35" s="294" t="s">
        <v>61</v>
      </c>
      <c r="B35" s="295"/>
      <c r="C35" s="296"/>
      <c r="D35" s="197">
        <v>6963.8</v>
      </c>
      <c r="E35" s="197">
        <v>6963.8</v>
      </c>
      <c r="F35" s="197"/>
      <c r="G35" s="198">
        <v>0</v>
      </c>
      <c r="H35" s="137"/>
      <c r="I35" s="136"/>
    </row>
    <row r="36" spans="1:9" ht="13.8" thickBot="1" x14ac:dyDescent="0.3">
      <c r="A36" s="75"/>
      <c r="B36" s="76"/>
      <c r="C36" s="76"/>
      <c r="D36" s="113"/>
      <c r="E36" s="113"/>
      <c r="F36" s="113"/>
      <c r="G36" s="113"/>
      <c r="H36" s="87"/>
      <c r="I36" s="87"/>
    </row>
    <row r="37" spans="1:9" ht="13.8" thickBot="1" x14ac:dyDescent="0.3">
      <c r="A37" s="270" t="s">
        <v>62</v>
      </c>
      <c r="B37" s="271"/>
      <c r="C37" s="272"/>
      <c r="D37" s="197">
        <v>58668.544399865474</v>
      </c>
      <c r="E37" s="197">
        <f t="shared" ref="E37" si="1">E33+E35</f>
        <v>48450.160571135464</v>
      </c>
      <c r="F37" s="197"/>
      <c r="G37" s="197">
        <v>0</v>
      </c>
      <c r="H37" s="87"/>
      <c r="I37" s="87"/>
    </row>
    <row r="38" spans="1:9" ht="13.8" thickBot="1" x14ac:dyDescent="0.3">
      <c r="A38" s="70"/>
      <c r="B38" s="71"/>
      <c r="C38" s="71"/>
      <c r="D38" s="114"/>
      <c r="E38" s="114"/>
      <c r="F38" s="114"/>
      <c r="G38" s="114"/>
      <c r="H38" s="87"/>
      <c r="I38" s="87"/>
    </row>
    <row r="39" spans="1:9" ht="13.8" thickBot="1" x14ac:dyDescent="0.3">
      <c r="A39" s="270" t="s">
        <v>63</v>
      </c>
      <c r="B39" s="271"/>
      <c r="C39" s="272"/>
      <c r="D39" s="197">
        <v>-4692.5643998654778</v>
      </c>
      <c r="E39" s="197">
        <f t="shared" ref="E39" si="2">E37/E12</f>
        <v>12112.540142783866</v>
      </c>
      <c r="F39" s="197"/>
      <c r="G39" s="197">
        <v>0</v>
      </c>
      <c r="H39" s="87"/>
      <c r="I39" s="87"/>
    </row>
    <row r="40" spans="1:9" ht="13.8" thickBot="1" x14ac:dyDescent="0.3">
      <c r="A40" s="70"/>
      <c r="B40" s="71"/>
      <c r="C40" s="71"/>
      <c r="D40" s="114"/>
      <c r="E40" s="114"/>
      <c r="F40" s="114"/>
      <c r="G40" s="114"/>
      <c r="H40" s="87"/>
      <c r="I40" s="87"/>
    </row>
    <row r="41" spans="1:9" ht="13.8" thickBot="1" x14ac:dyDescent="0.3">
      <c r="A41" s="177" t="s">
        <v>64</v>
      </c>
      <c r="B41" s="178"/>
      <c r="C41" s="178"/>
      <c r="D41" s="197">
        <v>19556.181466621823</v>
      </c>
      <c r="E41" s="197">
        <f>'Pryse + Sensatiwiteitsanalise'!E6</f>
        <v>0</v>
      </c>
      <c r="F41" s="197"/>
      <c r="G41" s="197">
        <v>0</v>
      </c>
      <c r="H41" s="87"/>
      <c r="I41" s="87"/>
    </row>
    <row r="42" spans="1:9" ht="13.8" thickBot="1" x14ac:dyDescent="0.3">
      <c r="A42" s="70"/>
      <c r="B42" s="71"/>
      <c r="C42" s="71"/>
      <c r="D42" s="114"/>
      <c r="E42" s="114"/>
      <c r="F42" s="114"/>
      <c r="G42" s="114"/>
      <c r="H42" s="87"/>
      <c r="I42" s="87"/>
    </row>
    <row r="43" spans="1:9" ht="13.8" thickBot="1" x14ac:dyDescent="0.3">
      <c r="A43" s="288" t="s">
        <v>89</v>
      </c>
      <c r="B43" s="306"/>
      <c r="C43" s="307"/>
      <c r="D43" s="213">
        <f>D39+D41</f>
        <v>14863.617066756346</v>
      </c>
      <c r="E43" s="213">
        <f t="shared" ref="E43" si="3">E39+E41</f>
        <v>12112.540142783866</v>
      </c>
      <c r="F43" s="213"/>
      <c r="G43" s="190">
        <v>0</v>
      </c>
      <c r="H43" s="87"/>
      <c r="I43" s="87"/>
    </row>
    <row r="44" spans="1:9" ht="13.8" thickBot="1" x14ac:dyDescent="0.3">
      <c r="A44" s="209" t="s">
        <v>90</v>
      </c>
      <c r="B44" s="210"/>
      <c r="C44" s="211"/>
      <c r="D44" s="213">
        <f>D4</f>
        <v>21767</v>
      </c>
      <c r="E44" s="213">
        <f t="shared" ref="E44" si="4">E4</f>
        <v>0.5</v>
      </c>
      <c r="F44" s="213"/>
      <c r="G44" s="190">
        <v>0</v>
      </c>
      <c r="H44" s="87"/>
      <c r="I44" s="87"/>
    </row>
    <row r="45" spans="1:9" ht="13.8" thickBot="1" x14ac:dyDescent="0.3">
      <c r="A45" s="209" t="s">
        <v>91</v>
      </c>
      <c r="B45" s="210"/>
      <c r="C45" s="211"/>
      <c r="D45" s="213">
        <f>D10</f>
        <v>17440.160000000003</v>
      </c>
      <c r="E45" s="213">
        <f t="shared" ref="E45" si="5">E10</f>
        <v>0</v>
      </c>
      <c r="F45" s="213"/>
      <c r="G45" s="190"/>
      <c r="H45" s="87"/>
      <c r="I45" s="26"/>
    </row>
    <row r="46" spans="1:9" s="1" customFormat="1" ht="13.8" thickBot="1" x14ac:dyDescent="0.3"/>
    <row r="47" spans="1:9" ht="14.4" x14ac:dyDescent="0.3">
      <c r="A47" s="297" t="s">
        <v>67</v>
      </c>
      <c r="B47" s="298"/>
      <c r="C47" s="299"/>
      <c r="D47" s="172">
        <f>D13-D33</f>
        <v>12889.422558359525</v>
      </c>
      <c r="E47" s="172">
        <f>F13-E33</f>
        <v>-41486.360571135461</v>
      </c>
      <c r="G47" s="172"/>
    </row>
    <row r="48" spans="1:9" ht="15" thickBot="1" x14ac:dyDescent="0.35">
      <c r="A48" s="300" t="s">
        <v>68</v>
      </c>
      <c r="B48" s="301"/>
      <c r="C48" s="302"/>
      <c r="D48" s="173">
        <f>D13-D37</f>
        <v>-4692.5643998654778</v>
      </c>
      <c r="E48" s="173">
        <f>F13-E37</f>
        <v>-48450.160571135464</v>
      </c>
      <c r="G48" s="173"/>
    </row>
    <row r="49" spans="1:9" ht="14.4" x14ac:dyDescent="0.25">
      <c r="A49" s="58" t="s">
        <v>76</v>
      </c>
      <c r="B49" s="59"/>
      <c r="C49" s="59"/>
      <c r="D49" s="59"/>
      <c r="E49" s="59"/>
      <c r="F49" s="59"/>
      <c r="G49" s="59"/>
      <c r="H49" s="26"/>
      <c r="I49" s="26"/>
    </row>
    <row r="50" spans="1:9" ht="14.4" x14ac:dyDescent="0.25">
      <c r="A50" s="61" t="s">
        <v>70</v>
      </c>
      <c r="B50" s="62"/>
      <c r="C50" s="62"/>
      <c r="D50" s="62"/>
      <c r="E50" s="62"/>
      <c r="F50" s="62"/>
      <c r="G50" s="62"/>
      <c r="H50" s="26"/>
      <c r="I50" s="26"/>
    </row>
    <row r="51" spans="1:9" ht="15" thickBot="1" x14ac:dyDescent="0.3">
      <c r="A51" s="64" t="s">
        <v>71</v>
      </c>
      <c r="B51" s="65"/>
      <c r="C51" s="65"/>
      <c r="D51" s="65"/>
      <c r="E51" s="65"/>
      <c r="F51" s="65"/>
      <c r="G51" s="65"/>
      <c r="H51" s="26"/>
      <c r="I51" s="26"/>
    </row>
  </sheetData>
  <mergeCells count="11">
    <mergeCell ref="A47:C47"/>
    <mergeCell ref="A48:C48"/>
    <mergeCell ref="A1:D1"/>
    <mergeCell ref="E1:G1"/>
    <mergeCell ref="A39:C39"/>
    <mergeCell ref="A43:C43"/>
    <mergeCell ref="A15:C15"/>
    <mergeCell ref="A33:C33"/>
    <mergeCell ref="A35:C35"/>
    <mergeCell ref="A37:C37"/>
    <mergeCell ref="A10:C10"/>
  </mergeCells>
  <conditionalFormatting sqref="G47:G48 D47:E48">
    <cfRule type="colorScale" priority="25">
      <colorScale>
        <cfvo type="min"/>
        <cfvo type="percentile" val="50"/>
        <cfvo type="max"/>
        <color rgb="FFF8696B"/>
        <color rgb="FFFFEB84"/>
        <color rgb="FF63BE7B"/>
      </colorScale>
    </cfRule>
    <cfRule type="colorScale" priority="26">
      <colorScale>
        <cfvo type="min"/>
        <cfvo type="percentile" val="50"/>
        <cfvo type="max"/>
        <color rgb="FFF8696B"/>
        <color rgb="FFFFEB84"/>
        <color rgb="FF63BE7B"/>
      </colorScale>
    </cfRule>
    <cfRule type="colorScale" priority="27">
      <colorScale>
        <cfvo type="min"/>
        <cfvo type="percentile" val="50"/>
        <cfvo type="max"/>
        <color rgb="FFF8696B"/>
        <color rgb="FFFFEB84"/>
        <color rgb="FF63BE7B"/>
      </colorScale>
    </cfRule>
  </conditionalFormatting>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7"/>
  <sheetViews>
    <sheetView topLeftCell="A13" zoomScale="85" zoomScaleNormal="85" workbookViewId="0">
      <selection activeCell="G39" sqref="G39"/>
    </sheetView>
  </sheetViews>
  <sheetFormatPr defaultRowHeight="13.2" x14ac:dyDescent="0.25"/>
  <cols>
    <col min="1" max="1" width="68.109375" bestFit="1" customWidth="1"/>
    <col min="2" max="2" width="14.109375" customWidth="1"/>
    <col min="3" max="3" width="16.5546875" style="127" customWidth="1"/>
    <col min="4" max="4" width="15.88671875" style="127" customWidth="1"/>
    <col min="7" max="7" width="53.44140625" bestFit="1" customWidth="1"/>
    <col min="8" max="8" width="6" bestFit="1" customWidth="1"/>
  </cols>
  <sheetData>
    <row r="1" spans="1:8" ht="14.4" x14ac:dyDescent="0.3">
      <c r="A1" s="93" t="s">
        <v>92</v>
      </c>
      <c r="B1" s="98" t="s">
        <v>93</v>
      </c>
      <c r="C1" s="214" t="s">
        <v>94</v>
      </c>
      <c r="D1" s="215" t="s">
        <v>95</v>
      </c>
      <c r="E1" s="169"/>
    </row>
    <row r="2" spans="1:8" ht="14.4" x14ac:dyDescent="0.3">
      <c r="A2" s="206" t="s">
        <v>96</v>
      </c>
      <c r="B2" s="207" t="s">
        <v>97</v>
      </c>
      <c r="C2" s="207" t="s">
        <v>98</v>
      </c>
      <c r="D2" s="207" t="s">
        <v>99</v>
      </c>
      <c r="E2" s="169"/>
      <c r="G2" t="s">
        <v>100</v>
      </c>
    </row>
    <row r="3" spans="1:8" ht="14.4" x14ac:dyDescent="0.3">
      <c r="A3" s="199" t="s">
        <v>101</v>
      </c>
      <c r="B3" s="200"/>
      <c r="C3" s="201"/>
      <c r="D3" s="201"/>
      <c r="E3" s="169"/>
      <c r="G3" s="229" t="s">
        <v>102</v>
      </c>
      <c r="H3" s="230">
        <v>15.77</v>
      </c>
    </row>
    <row r="4" spans="1:8" ht="14.4" x14ac:dyDescent="0.3">
      <c r="A4" s="99" t="s">
        <v>103</v>
      </c>
      <c r="B4" s="231">
        <f>H3</f>
        <v>15.77</v>
      </c>
      <c r="C4" s="231">
        <f>H4</f>
        <v>3.65</v>
      </c>
      <c r="D4" s="231">
        <f>H5</f>
        <v>2.5099999999999998</v>
      </c>
      <c r="E4" s="169"/>
      <c r="G4" s="229" t="s">
        <v>104</v>
      </c>
      <c r="H4" s="230">
        <v>3.65</v>
      </c>
    </row>
    <row r="5" spans="1:8" ht="14.4" x14ac:dyDescent="0.3">
      <c r="A5" s="99" t="s">
        <v>105</v>
      </c>
      <c r="B5" s="242">
        <f>'Pryse + Sensatiwiteitsanalise'!B4</f>
        <v>3800</v>
      </c>
      <c r="C5" s="242">
        <f>'Pryse + Sensatiwiteitsanalise'!B5</f>
        <v>7900</v>
      </c>
      <c r="D5" s="216">
        <f>'Bes-Grondbone'!D10</f>
        <v>17440.160000000003</v>
      </c>
      <c r="E5" s="169"/>
      <c r="G5" s="230" t="s">
        <v>106</v>
      </c>
      <c r="H5" s="229">
        <v>2.5099999999999998</v>
      </c>
    </row>
    <row r="6" spans="1:8" ht="14.4" x14ac:dyDescent="0.3">
      <c r="A6" s="99" t="s">
        <v>107</v>
      </c>
      <c r="B6" s="242">
        <f>'Pryse + Sensatiwiteitsanalise'!D4</f>
        <v>560</v>
      </c>
      <c r="C6" s="242">
        <f>'Pryse + Sensatiwiteitsanalise'!D5</f>
        <v>204</v>
      </c>
      <c r="D6" s="216">
        <f>'Pryse + Sensatiwiteitsanalise'!D6</f>
        <v>63</v>
      </c>
      <c r="E6" s="169"/>
    </row>
    <row r="7" spans="1:8" ht="15" thickBot="1" x14ac:dyDescent="0.35">
      <c r="A7" s="99" t="s">
        <v>108</v>
      </c>
      <c r="B7" s="243">
        <f>B5-B6</f>
        <v>3240</v>
      </c>
      <c r="C7" s="243">
        <f>C5-C6</f>
        <v>7696</v>
      </c>
      <c r="D7" s="217">
        <f>D5-D6</f>
        <v>17377.160000000003</v>
      </c>
      <c r="E7" s="169"/>
    </row>
    <row r="8" spans="1:8" ht="15" thickTop="1" x14ac:dyDescent="0.3">
      <c r="A8" s="97" t="s">
        <v>109</v>
      </c>
      <c r="B8" s="244">
        <f>B4*B7</f>
        <v>51094.799999999996</v>
      </c>
      <c r="C8" s="244">
        <f>C4*C7</f>
        <v>28090.399999999998</v>
      </c>
      <c r="D8" s="218">
        <f>D4*D7</f>
        <v>43616.671600000001</v>
      </c>
      <c r="E8" s="169"/>
    </row>
    <row r="9" spans="1:8" ht="14.4" x14ac:dyDescent="0.3">
      <c r="A9" s="99"/>
      <c r="B9" s="244"/>
      <c r="C9" s="245"/>
      <c r="D9" s="219"/>
      <c r="E9" s="169"/>
    </row>
    <row r="10" spans="1:8" ht="14.4" x14ac:dyDescent="0.3">
      <c r="A10" s="199" t="s">
        <v>110</v>
      </c>
      <c r="B10" s="246"/>
      <c r="C10" s="247"/>
      <c r="D10" s="220"/>
      <c r="E10" s="169"/>
    </row>
    <row r="11" spans="1:8" ht="14.4" x14ac:dyDescent="0.3">
      <c r="A11" s="101" t="s">
        <v>43</v>
      </c>
      <c r="B11" s="248">
        <f>'Bes-mielies'!I9</f>
        <v>7182.2375000000002</v>
      </c>
      <c r="C11" s="248">
        <f>'Bes-soja (vermin bewerk)'!G9</f>
        <v>2996.1104</v>
      </c>
      <c r="D11" s="221">
        <f>'Bes-Grondbone'!D16</f>
        <v>2224</v>
      </c>
      <c r="E11" s="170"/>
      <c r="G11" s="203"/>
    </row>
    <row r="12" spans="1:8" ht="14.4" x14ac:dyDescent="0.3">
      <c r="A12" s="101" t="s">
        <v>44</v>
      </c>
      <c r="B12" s="248">
        <f>'Bes-mielies'!I10</f>
        <v>22179.904999999999</v>
      </c>
      <c r="C12" s="248">
        <f>'Bes-soja (vermin bewerk)'!G10</f>
        <v>10427</v>
      </c>
      <c r="D12" s="221">
        <f>'Bes-Grondbone'!D17</f>
        <v>11076.7</v>
      </c>
      <c r="E12" s="170"/>
      <c r="G12" s="203"/>
    </row>
    <row r="13" spans="1:8" ht="14.4" x14ac:dyDescent="0.3">
      <c r="A13" s="101" t="s">
        <v>45</v>
      </c>
      <c r="B13" s="248">
        <f>'Bes-mielies'!I11</f>
        <v>800</v>
      </c>
      <c r="C13" s="248">
        <f>'Bes-soja (vermin bewerk)'!G11</f>
        <v>0</v>
      </c>
      <c r="D13" s="221">
        <f>'Bes-Grondbone'!D18</f>
        <v>800</v>
      </c>
      <c r="E13" s="170"/>
    </row>
    <row r="14" spans="1:8" ht="14.4" x14ac:dyDescent="0.3">
      <c r="A14" s="101" t="s">
        <v>46</v>
      </c>
      <c r="B14" s="248">
        <f>'Bes-mielies'!I12</f>
        <v>2191.3067980000001</v>
      </c>
      <c r="C14" s="248">
        <f>'Bes-soja (vermin bewerk)'!G12</f>
        <v>967.75180000000012</v>
      </c>
      <c r="D14" s="221">
        <f>'Bes-Grondbone'!D19</f>
        <v>1700.5778600000001</v>
      </c>
      <c r="E14" s="170"/>
      <c r="G14" s="203"/>
    </row>
    <row r="15" spans="1:8" ht="14.4" x14ac:dyDescent="0.3">
      <c r="A15" s="101" t="s">
        <v>47</v>
      </c>
      <c r="B15" s="248">
        <f>'Bes-mielies'!I13</f>
        <v>1081.1125</v>
      </c>
      <c r="C15" s="248">
        <f>'Bes-soja (vermin bewerk)'!G13</f>
        <v>526.78</v>
      </c>
      <c r="D15" s="221">
        <f>'Bes-Grondbone'!D20</f>
        <v>1345.8992506072875</v>
      </c>
      <c r="E15" s="170"/>
    </row>
    <row r="16" spans="1:8" ht="14.4" x14ac:dyDescent="0.3">
      <c r="A16" s="101" t="s">
        <v>48</v>
      </c>
      <c r="B16" s="248">
        <f>'Bes-mielies'!I14</f>
        <v>2995.2678400000004</v>
      </c>
      <c r="C16" s="248">
        <f>'Bes-soja (vermin bewerk)'!G14</f>
        <v>1878.0160000000001</v>
      </c>
      <c r="D16" s="221">
        <f>'Bes-Grondbone'!D21</f>
        <v>1240.455244</v>
      </c>
      <c r="E16" s="170"/>
      <c r="G16" s="204"/>
    </row>
    <row r="17" spans="1:8" ht="14.4" x14ac:dyDescent="0.3">
      <c r="A17" s="101" t="s">
        <v>49</v>
      </c>
      <c r="B17" s="248">
        <f>'Bes-mielies'!I15</f>
        <v>0</v>
      </c>
      <c r="C17" s="248">
        <f>'Bes-soja (vermin bewerk)'!G15</f>
        <v>2044.5002320000001</v>
      </c>
      <c r="D17" s="221">
        <f>'Bes-Grondbone'!D22</f>
        <v>4339.6998800000001</v>
      </c>
      <c r="E17" s="170"/>
    </row>
    <row r="18" spans="1:8" ht="14.4" x14ac:dyDescent="0.3">
      <c r="A18" s="101" t="s">
        <v>50</v>
      </c>
      <c r="B18" s="248">
        <f>'Bes-mielies'!I16</f>
        <v>0</v>
      </c>
      <c r="C18" s="248">
        <f>'Bes-soja (vermin bewerk)'!G16</f>
        <v>0</v>
      </c>
      <c r="D18" s="221">
        <f>'Bes-Grondbone'!D23</f>
        <v>0</v>
      </c>
      <c r="E18" s="170"/>
    </row>
    <row r="19" spans="1:8" ht="14.4" x14ac:dyDescent="0.3">
      <c r="A19" s="101" t="s">
        <v>51</v>
      </c>
      <c r="B19" s="248">
        <f>'Bes-mielies'!I17</f>
        <v>11825.680000000002</v>
      </c>
      <c r="C19" s="248">
        <f>'Bes-soja (vermin bewerk)'!G17</f>
        <v>9913</v>
      </c>
      <c r="D19" s="221">
        <f>'Bes-Grondbone'!D24</f>
        <v>10177</v>
      </c>
      <c r="E19" s="170"/>
      <c r="G19" s="203"/>
    </row>
    <row r="20" spans="1:8" ht="14.4" x14ac:dyDescent="0.3">
      <c r="A20" s="101" t="s">
        <v>52</v>
      </c>
      <c r="B20" s="248">
        <f>'Bes-mielies'!I18</f>
        <v>0</v>
      </c>
      <c r="C20" s="248">
        <f>'Bes-soja (vermin bewerk)'!G18</f>
        <v>0</v>
      </c>
      <c r="D20" s="221">
        <f>'Bes-Grondbone'!D25</f>
        <v>0</v>
      </c>
      <c r="E20" s="170"/>
    </row>
    <row r="21" spans="1:8" ht="14.4" x14ac:dyDescent="0.3">
      <c r="A21" s="101" t="s">
        <v>53</v>
      </c>
      <c r="B21" s="248">
        <f>'Bes-mielies'!I19</f>
        <v>1100</v>
      </c>
      <c r="C21" s="248">
        <f>'Bes-soja (vermin bewerk)'!G19</f>
        <v>1250</v>
      </c>
      <c r="D21" s="221">
        <f>'Bes-Grondbone'!D26</f>
        <v>3560</v>
      </c>
      <c r="E21" s="170"/>
      <c r="G21" s="203"/>
      <c r="H21" s="205"/>
    </row>
    <row r="22" spans="1:8" ht="14.4" x14ac:dyDescent="0.3">
      <c r="A22" s="101" t="s">
        <v>54</v>
      </c>
      <c r="B22" s="248">
        <f>'Bes-mielies'!I20</f>
        <v>1022.4</v>
      </c>
      <c r="C22" s="248">
        <f>'Bes-soja (vermin bewerk)'!G20</f>
        <v>1847.04</v>
      </c>
      <c r="D22" s="221">
        <f>'Bes-Grondbone'!D27</f>
        <v>539.75979999999993</v>
      </c>
      <c r="E22" s="170"/>
    </row>
    <row r="23" spans="1:8" ht="14.4" x14ac:dyDescent="0.3">
      <c r="A23" s="101" t="s">
        <v>55</v>
      </c>
      <c r="B23" s="248">
        <f>'Bes-mielies'!I21</f>
        <v>500</v>
      </c>
      <c r="C23" s="248">
        <f>'Bes-soja (vermin bewerk)'!G21</f>
        <v>0</v>
      </c>
      <c r="D23" s="221">
        <f>'Bes-Grondbone'!D28</f>
        <v>0</v>
      </c>
      <c r="E23" s="170"/>
    </row>
    <row r="24" spans="1:8" ht="14.4" x14ac:dyDescent="0.3">
      <c r="A24" s="101" t="s">
        <v>56</v>
      </c>
      <c r="B24" s="248">
        <f>'Bes-mielies'!I22</f>
        <v>300</v>
      </c>
      <c r="C24" s="248">
        <f>'Bes-soja (vermin bewerk)'!G22</f>
        <v>300</v>
      </c>
      <c r="D24" s="221">
        <f>'Bes-Grondbone'!D29</f>
        <v>300</v>
      </c>
      <c r="E24" s="170"/>
    </row>
    <row r="25" spans="1:8" ht="14.4" x14ac:dyDescent="0.3">
      <c r="A25" s="101" t="s">
        <v>57</v>
      </c>
      <c r="B25" s="248">
        <f>'Bes-mielies'!I23</f>
        <v>0</v>
      </c>
      <c r="C25" s="248">
        <f>'Bes-soja (vermin bewerk)'!G23</f>
        <v>0</v>
      </c>
      <c r="D25" s="221">
        <f>'Bes-Grondbone'!D30</f>
        <v>1800</v>
      </c>
      <c r="E25" s="170"/>
    </row>
    <row r="26" spans="1:8" ht="16.2" customHeight="1" x14ac:dyDescent="0.3">
      <c r="A26" s="94" t="s">
        <v>58</v>
      </c>
      <c r="B26" s="248">
        <f>'Bes-mielies'!I24</f>
        <v>0</v>
      </c>
      <c r="C26" s="248">
        <f>'Bes-soja (vermin bewerk)'!G24</f>
        <v>0</v>
      </c>
      <c r="D26" s="221">
        <f>'Bes-Grondbone'!D31</f>
        <v>0</v>
      </c>
      <c r="E26" s="170"/>
    </row>
    <row r="27" spans="1:8" ht="15" customHeight="1" x14ac:dyDescent="0.3">
      <c r="A27" s="94" t="s">
        <v>59</v>
      </c>
      <c r="B27" s="248">
        <f>'Bes-mielies'!I25</f>
        <v>3434.8735032750787</v>
      </c>
      <c r="C27" s="248">
        <f>'Bes-soja (vermin bewerk)'!G25</f>
        <v>2035.9876211972714</v>
      </c>
      <c r="D27" s="221">
        <f>'Bes-Grondbone'!D32</f>
        <v>1982.4654070331781</v>
      </c>
      <c r="E27" s="170"/>
    </row>
    <row r="28" spans="1:8" ht="14.4" x14ac:dyDescent="0.3">
      <c r="A28" s="202" t="s">
        <v>111</v>
      </c>
      <c r="B28" s="249">
        <f>SUM(B11:B27)</f>
        <v>54612.783141275082</v>
      </c>
      <c r="C28" s="249">
        <f>SUM(C11:C27)</f>
        <v>34186.186053197271</v>
      </c>
      <c r="D28" s="222">
        <f>SUM(D11:D27)</f>
        <v>41086.557441640471</v>
      </c>
      <c r="E28" s="170"/>
    </row>
    <row r="29" spans="1:8" ht="15" thickBot="1" x14ac:dyDescent="0.35">
      <c r="A29" s="134"/>
      <c r="B29" s="250"/>
      <c r="C29" s="250"/>
      <c r="D29" s="223"/>
      <c r="E29" s="169"/>
    </row>
    <row r="30" spans="1:8" ht="15" thickTop="1" x14ac:dyDescent="0.3">
      <c r="A30" s="202" t="s">
        <v>112</v>
      </c>
      <c r="B30" s="249">
        <f>'Bes-mielies'!D28</f>
        <v>7800</v>
      </c>
      <c r="C30" s="249">
        <f>'Bes-soja (vermin bewerk)'!D28</f>
        <v>5890</v>
      </c>
      <c r="D30" s="222">
        <f>'Bes-Grondbone'!D35</f>
        <v>6963.8</v>
      </c>
      <c r="E30" s="169"/>
    </row>
    <row r="31" spans="1:8" ht="14.4" x14ac:dyDescent="0.3">
      <c r="A31" s="134"/>
      <c r="B31" s="251"/>
      <c r="C31" s="251"/>
      <c r="D31" s="224"/>
      <c r="E31" s="169"/>
    </row>
    <row r="32" spans="1:8" s="127" customFormat="1" ht="15" thickBot="1" x14ac:dyDescent="0.35">
      <c r="A32" s="202" t="s">
        <v>113</v>
      </c>
      <c r="B32" s="252">
        <f>B28+B30</f>
        <v>62412.783141275082</v>
      </c>
      <c r="C32" s="252">
        <f>C28+C30</f>
        <v>40076.186053197271</v>
      </c>
      <c r="D32" s="225">
        <f>D28+D30</f>
        <v>48050.357441640474</v>
      </c>
      <c r="E32" s="82"/>
    </row>
    <row r="33" spans="1:5" s="127" customFormat="1" ht="15.6" thickTop="1" thickBot="1" x14ac:dyDescent="0.35">
      <c r="A33" s="100"/>
      <c r="B33" s="250"/>
      <c r="C33" s="250"/>
      <c r="D33" s="223"/>
      <c r="E33" s="82"/>
    </row>
    <row r="34" spans="1:5" s="127" customFormat="1" ht="15" thickTop="1" x14ac:dyDescent="0.3">
      <c r="A34" s="133" t="s">
        <v>114</v>
      </c>
      <c r="B34" s="253">
        <f>B8-B28</f>
        <v>-3517.9831412750864</v>
      </c>
      <c r="C34" s="253">
        <f>C8-C28</f>
        <v>-6095.7860531972728</v>
      </c>
      <c r="D34" s="226">
        <f>D8-D28</f>
        <v>2530.1141583595308</v>
      </c>
      <c r="E34" s="82"/>
    </row>
    <row r="35" spans="1:5" s="127" customFormat="1" ht="15" thickBot="1" x14ac:dyDescent="0.35">
      <c r="A35" s="133" t="s">
        <v>115</v>
      </c>
      <c r="B35" s="254">
        <f>B8-B32</f>
        <v>-11317.983141275086</v>
      </c>
      <c r="C35" s="254">
        <f>C8-C32</f>
        <v>-11985.786053197273</v>
      </c>
      <c r="D35" s="227">
        <f>D8-D32</f>
        <v>-4433.6858416404721</v>
      </c>
      <c r="E35" s="82"/>
    </row>
    <row r="36" spans="1:5" s="127" customFormat="1" ht="14.4" x14ac:dyDescent="0.3">
      <c r="A36" s="133"/>
      <c r="B36" s="90"/>
      <c r="C36" s="90"/>
      <c r="D36" s="132"/>
      <c r="E36" s="82"/>
    </row>
    <row r="37" spans="1:5" s="127" customFormat="1" ht="55.5" customHeight="1" x14ac:dyDescent="0.25">
      <c r="A37" s="311" t="s">
        <v>116</v>
      </c>
      <c r="B37" s="312"/>
      <c r="C37" s="312"/>
      <c r="D37" s="312"/>
      <c r="E37" s="82"/>
    </row>
    <row r="38" spans="1:5" s="127" customFormat="1" x14ac:dyDescent="0.25">
      <c r="A38" s="85"/>
      <c r="B38" s="85"/>
      <c r="C38" s="85"/>
      <c r="D38" s="85"/>
      <c r="E38" s="82"/>
    </row>
    <row r="39" spans="1:5" s="127" customFormat="1" x14ac:dyDescent="0.25">
      <c r="A39" s="126"/>
      <c r="B39" s="126"/>
      <c r="C39" s="126"/>
      <c r="D39" s="126"/>
      <c r="E39" s="82"/>
    </row>
    <row r="40" spans="1:5" s="127" customFormat="1" x14ac:dyDescent="0.25">
      <c r="A40" s="126"/>
      <c r="B40" s="126"/>
      <c r="C40" s="126"/>
      <c r="D40" s="126"/>
      <c r="E40" s="82"/>
    </row>
    <row r="41" spans="1:5" s="127" customFormat="1" x14ac:dyDescent="0.25">
      <c r="A41" s="126"/>
      <c r="B41" s="126"/>
      <c r="C41" s="126"/>
      <c r="D41" s="126"/>
      <c r="E41" s="82"/>
    </row>
    <row r="42" spans="1:5" s="127" customFormat="1" x14ac:dyDescent="0.25">
      <c r="A42" s="126"/>
      <c r="B42" s="126"/>
      <c r="C42" s="126"/>
      <c r="D42" s="126"/>
      <c r="E42" s="82"/>
    </row>
    <row r="43" spans="1:5" s="127" customFormat="1" x14ac:dyDescent="0.25">
      <c r="A43" s="126"/>
      <c r="B43" s="126"/>
      <c r="C43" s="126"/>
      <c r="D43" s="126"/>
      <c r="E43" s="82"/>
    </row>
    <row r="44" spans="1:5" s="127" customFormat="1" x14ac:dyDescent="0.25">
      <c r="A44" s="126"/>
      <c r="B44" s="126"/>
      <c r="C44" s="126"/>
      <c r="D44" s="126"/>
      <c r="E44" s="82"/>
    </row>
    <row r="45" spans="1:5" s="127" customFormat="1" x14ac:dyDescent="0.25">
      <c r="A45" s="126"/>
      <c r="B45" s="126"/>
      <c r="C45" s="126"/>
      <c r="D45" s="126"/>
      <c r="E45" s="82"/>
    </row>
    <row r="46" spans="1:5" s="127" customFormat="1" x14ac:dyDescent="0.25">
      <c r="A46" s="126"/>
      <c r="B46" s="126"/>
      <c r="C46" s="126"/>
      <c r="D46" s="126"/>
      <c r="E46" s="82"/>
    </row>
    <row r="47" spans="1:5" s="127" customFormat="1" x14ac:dyDescent="0.25">
      <c r="A47" s="126"/>
      <c r="B47" s="126"/>
      <c r="C47" s="126"/>
      <c r="D47" s="126"/>
      <c r="E47" s="82"/>
    </row>
    <row r="48" spans="1:5" s="127" customFormat="1" x14ac:dyDescent="0.25">
      <c r="A48" s="126"/>
      <c r="B48" s="126"/>
      <c r="C48" s="126"/>
      <c r="D48" s="126"/>
      <c r="E48" s="82"/>
    </row>
    <row r="49" spans="1:5" s="127" customFormat="1" x14ac:dyDescent="0.25">
      <c r="A49" s="126"/>
      <c r="B49" s="126"/>
      <c r="C49" s="126"/>
      <c r="D49" s="126"/>
      <c r="E49" s="82"/>
    </row>
    <row r="50" spans="1:5" s="127" customFormat="1" x14ac:dyDescent="0.25">
      <c r="A50" s="126"/>
      <c r="B50" s="126"/>
      <c r="C50" s="126"/>
      <c r="D50" s="126"/>
      <c r="E50" s="82"/>
    </row>
    <row r="51" spans="1:5" s="127" customFormat="1" x14ac:dyDescent="0.25">
      <c r="A51" s="126"/>
      <c r="B51" s="126"/>
      <c r="C51" s="126"/>
      <c r="D51" s="126"/>
      <c r="E51" s="82"/>
    </row>
    <row r="52" spans="1:5" s="127" customFormat="1" x14ac:dyDescent="0.25">
      <c r="A52" s="126"/>
      <c r="B52" s="126"/>
      <c r="C52" s="126"/>
      <c r="D52" s="126"/>
      <c r="E52" s="82"/>
    </row>
    <row r="53" spans="1:5" s="127" customFormat="1" x14ac:dyDescent="0.25">
      <c r="A53" s="126"/>
      <c r="B53" s="126"/>
      <c r="C53" s="126"/>
      <c r="D53" s="126"/>
      <c r="E53" s="82"/>
    </row>
    <row r="54" spans="1:5" s="127" customFormat="1" x14ac:dyDescent="0.25">
      <c r="A54" s="126"/>
      <c r="B54" s="126"/>
      <c r="C54" s="126"/>
      <c r="D54" s="126"/>
      <c r="E54" s="82"/>
    </row>
    <row r="55" spans="1:5" s="127" customFormat="1" x14ac:dyDescent="0.25">
      <c r="A55" s="126"/>
      <c r="B55" s="126"/>
      <c r="C55" s="126"/>
      <c r="D55" s="126"/>
      <c r="E55" s="82"/>
    </row>
    <row r="56" spans="1:5" s="127" customFormat="1" x14ac:dyDescent="0.25">
      <c r="A56" s="126"/>
      <c r="B56" s="126"/>
      <c r="C56" s="126"/>
      <c r="D56" s="126"/>
      <c r="E56" s="82"/>
    </row>
    <row r="57" spans="1:5" s="127" customFormat="1" x14ac:dyDescent="0.25">
      <c r="A57" s="126"/>
      <c r="B57" s="126"/>
      <c r="C57" s="126"/>
      <c r="D57" s="125"/>
      <c r="E57" s="82"/>
    </row>
    <row r="58" spans="1:5" s="127" customFormat="1" ht="14.4" x14ac:dyDescent="0.3">
      <c r="A58" s="139" t="s">
        <v>117</v>
      </c>
      <c r="B58" s="138"/>
      <c r="C58" s="138"/>
      <c r="D58" s="129"/>
      <c r="E58" s="82"/>
    </row>
    <row r="59" spans="1:5" s="127" customFormat="1" ht="15" thickBot="1" x14ac:dyDescent="0.35">
      <c r="A59" s="84"/>
      <c r="B59" s="83" t="str">
        <f>B2</f>
        <v>Irr-Maize</v>
      </c>
      <c r="C59" s="83" t="str">
        <f>C2</f>
        <v>Irr-Soy</v>
      </c>
      <c r="D59" s="83" t="str">
        <f>D2</f>
        <v>Irr-Groundnuts</v>
      </c>
      <c r="E59" s="82"/>
    </row>
    <row r="60" spans="1:5" s="127" customFormat="1" ht="14.4" x14ac:dyDescent="0.3">
      <c r="A60" s="141" t="s">
        <v>105</v>
      </c>
      <c r="B60" s="104">
        <f>B5</f>
        <v>3800</v>
      </c>
      <c r="C60" s="104">
        <f>C5</f>
        <v>7900</v>
      </c>
      <c r="D60" s="104">
        <f>D5</f>
        <v>17440.160000000003</v>
      </c>
      <c r="E60" s="82"/>
    </row>
    <row r="61" spans="1:5" s="127" customFormat="1" x14ac:dyDescent="0.25">
      <c r="A61" s="91" t="s">
        <v>118</v>
      </c>
      <c r="B61" s="86">
        <f>B4</f>
        <v>15.77</v>
      </c>
      <c r="C61" s="86">
        <f>C4</f>
        <v>3.65</v>
      </c>
      <c r="D61" s="86">
        <f>D4</f>
        <v>2.5099999999999998</v>
      </c>
      <c r="E61" s="82"/>
    </row>
    <row r="62" spans="1:5" s="127" customFormat="1" x14ac:dyDescent="0.25">
      <c r="A62" s="91"/>
      <c r="B62" s="86"/>
      <c r="C62" s="86"/>
      <c r="D62" s="86"/>
      <c r="E62" s="82"/>
    </row>
    <row r="63" spans="1:5" s="127" customFormat="1" ht="14.4" x14ac:dyDescent="0.3">
      <c r="A63" s="140" t="s">
        <v>101</v>
      </c>
      <c r="B63" s="130"/>
      <c r="C63" s="130"/>
      <c r="D63" s="130"/>
      <c r="E63" s="82"/>
    </row>
    <row r="64" spans="1:5" s="127" customFormat="1" x14ac:dyDescent="0.25">
      <c r="A64" s="91" t="s">
        <v>119</v>
      </c>
      <c r="B64" s="104">
        <f>B7</f>
        <v>3240</v>
      </c>
      <c r="C64" s="104">
        <f>C7</f>
        <v>7696</v>
      </c>
      <c r="D64" s="104">
        <f>D7</f>
        <v>17377.160000000003</v>
      </c>
      <c r="E64" s="82"/>
    </row>
    <row r="65" spans="1:5" s="127" customFormat="1" x14ac:dyDescent="0.25">
      <c r="A65" s="91" t="s">
        <v>120</v>
      </c>
      <c r="B65" s="104">
        <f>B64/B61</f>
        <v>205.45339251743817</v>
      </c>
      <c r="C65" s="104">
        <f t="shared" ref="C65:D65" si="0">C64/C61</f>
        <v>2108.4931506849316</v>
      </c>
      <c r="D65" s="104">
        <f t="shared" si="0"/>
        <v>6923.1713147410383</v>
      </c>
      <c r="E65" s="82"/>
    </row>
    <row r="66" spans="1:5" s="127" customFormat="1" x14ac:dyDescent="0.25">
      <c r="A66" s="91"/>
      <c r="B66" s="104"/>
      <c r="C66" s="104"/>
      <c r="D66" s="104"/>
      <c r="E66" s="82"/>
    </row>
    <row r="67" spans="1:5" s="127" customFormat="1" ht="14.4" x14ac:dyDescent="0.3">
      <c r="A67" s="140" t="s">
        <v>121</v>
      </c>
      <c r="B67" s="130"/>
      <c r="C67" s="130"/>
      <c r="D67" s="130"/>
      <c r="E67" s="82"/>
    </row>
    <row r="68" spans="1:5" s="127" customFormat="1" x14ac:dyDescent="0.25">
      <c r="A68" s="91" t="s">
        <v>122</v>
      </c>
      <c r="B68" s="104">
        <f>B28</f>
        <v>54612.783141275082</v>
      </c>
      <c r="C68" s="104">
        <f t="shared" ref="C68:D68" si="1">C28</f>
        <v>34186.186053197271</v>
      </c>
      <c r="D68" s="104">
        <f t="shared" si="1"/>
        <v>41086.557441640471</v>
      </c>
      <c r="E68" s="82"/>
    </row>
    <row r="69" spans="1:5" s="127" customFormat="1" x14ac:dyDescent="0.25">
      <c r="A69" s="91" t="s">
        <v>123</v>
      </c>
      <c r="B69" s="104">
        <f>B68/B61</f>
        <v>3463.080731850037</v>
      </c>
      <c r="C69" s="104">
        <f t="shared" ref="C69:D69" si="2">C68/C61</f>
        <v>9366.0783707389783</v>
      </c>
      <c r="D69" s="104">
        <f t="shared" si="2"/>
        <v>16369.146391091823</v>
      </c>
      <c r="E69" s="82"/>
    </row>
    <row r="70" spans="1:5" s="127" customFormat="1" x14ac:dyDescent="0.25">
      <c r="A70" s="91"/>
      <c r="B70" s="104"/>
      <c r="C70" s="104"/>
      <c r="D70" s="104"/>
      <c r="E70" s="82"/>
    </row>
    <row r="71" spans="1:5" s="127" customFormat="1" x14ac:dyDescent="0.25">
      <c r="A71" s="91" t="s">
        <v>124</v>
      </c>
      <c r="B71" s="104">
        <f>B32</f>
        <v>62412.783141275082</v>
      </c>
      <c r="C71" s="104">
        <f t="shared" ref="C71:D71" si="3">C32</f>
        <v>40076.186053197271</v>
      </c>
      <c r="D71" s="104">
        <f t="shared" si="3"/>
        <v>48050.357441640474</v>
      </c>
      <c r="E71" s="82"/>
    </row>
    <row r="72" spans="1:5" s="127" customFormat="1" x14ac:dyDescent="0.25">
      <c r="A72" s="91" t="s">
        <v>125</v>
      </c>
      <c r="B72" s="104">
        <f>B71/B61</f>
        <v>3957.6907508734994</v>
      </c>
      <c r="C72" s="104">
        <f t="shared" ref="C72:D72" si="4">C71/C61</f>
        <v>10979.777000875965</v>
      </c>
      <c r="D72" s="104">
        <f t="shared" si="4"/>
        <v>19143.568701848795</v>
      </c>
      <c r="E72" s="82"/>
    </row>
    <row r="73" spans="1:5" s="127" customFormat="1" x14ac:dyDescent="0.25">
      <c r="A73" s="91"/>
      <c r="B73" s="104"/>
      <c r="C73" s="104"/>
      <c r="D73" s="104"/>
      <c r="E73" s="170"/>
    </row>
    <row r="74" spans="1:5" s="127" customFormat="1" ht="14.4" x14ac:dyDescent="0.3">
      <c r="A74" s="128" t="s">
        <v>126</v>
      </c>
      <c r="B74" s="131"/>
      <c r="C74" s="131"/>
      <c r="D74" s="131"/>
      <c r="E74" s="170"/>
    </row>
    <row r="75" spans="1:5" s="127" customFormat="1" x14ac:dyDescent="0.25">
      <c r="A75" s="91" t="s">
        <v>127</v>
      </c>
      <c r="B75" s="104">
        <f>B34</f>
        <v>-3517.9831412750864</v>
      </c>
      <c r="C75" s="104">
        <f t="shared" ref="C75:D75" si="5">C34</f>
        <v>-6095.7860531972728</v>
      </c>
      <c r="D75" s="104">
        <f t="shared" si="5"/>
        <v>2530.1141583595308</v>
      </c>
      <c r="E75" s="170"/>
    </row>
    <row r="76" spans="1:5" s="127" customFormat="1" x14ac:dyDescent="0.25">
      <c r="A76" s="91" t="s">
        <v>128</v>
      </c>
      <c r="B76" s="104">
        <f>B75/B61</f>
        <v>-223.08073185003718</v>
      </c>
      <c r="C76" s="104">
        <f t="shared" ref="C76:D76" si="6">C75/C61</f>
        <v>-1670.0783707389789</v>
      </c>
      <c r="D76" s="104">
        <f t="shared" si="6"/>
        <v>1008.0136089081797</v>
      </c>
      <c r="E76" s="170"/>
    </row>
    <row r="77" spans="1:5" s="127" customFormat="1" x14ac:dyDescent="0.25">
      <c r="A77" s="91"/>
      <c r="B77" s="104"/>
      <c r="C77" s="104"/>
      <c r="D77" s="104"/>
      <c r="E77" s="170"/>
    </row>
    <row r="78" spans="1:5" s="127" customFormat="1" x14ac:dyDescent="0.25">
      <c r="A78" s="91" t="s">
        <v>129</v>
      </c>
      <c r="B78" s="104">
        <f>B35</f>
        <v>-11317.983141275086</v>
      </c>
      <c r="C78" s="104">
        <f t="shared" ref="C78:D78" si="7">C35</f>
        <v>-11985.786053197273</v>
      </c>
      <c r="D78" s="104">
        <f t="shared" si="7"/>
        <v>-4433.6858416404721</v>
      </c>
      <c r="E78" s="170"/>
    </row>
    <row r="79" spans="1:5" s="127" customFormat="1" x14ac:dyDescent="0.25">
      <c r="A79" s="91" t="s">
        <v>130</v>
      </c>
      <c r="B79" s="104">
        <f>B78/B61</f>
        <v>-717.6907508734995</v>
      </c>
      <c r="C79" s="104">
        <f t="shared" ref="C79:D79" si="8">C78/C61</f>
        <v>-3283.7770008759653</v>
      </c>
      <c r="D79" s="104">
        <f t="shared" si="8"/>
        <v>-1766.4087018487937</v>
      </c>
      <c r="E79" s="170"/>
    </row>
    <row r="80" spans="1:5" s="127" customFormat="1" x14ac:dyDescent="0.25">
      <c r="A80" s="91"/>
      <c r="B80" s="104"/>
      <c r="C80" s="104"/>
      <c r="D80" s="104"/>
      <c r="E80" s="170"/>
    </row>
    <row r="81" spans="1:5" s="135" customFormat="1" ht="14.4" x14ac:dyDescent="0.3">
      <c r="A81" s="128" t="s">
        <v>131</v>
      </c>
      <c r="B81" s="131"/>
      <c r="C81" s="131"/>
      <c r="D81" s="131"/>
      <c r="E81" s="170"/>
    </row>
    <row r="82" spans="1:5" s="135" customFormat="1" ht="13.8" thickBot="1" x14ac:dyDescent="0.3">
      <c r="A82" s="91" t="s">
        <v>132</v>
      </c>
      <c r="B82" s="105">
        <f>B68/B64</f>
        <v>16.855797265825643</v>
      </c>
      <c r="C82" s="105">
        <f t="shared" ref="C82:D82" si="9">C68/C64</f>
        <v>4.4420719923593124</v>
      </c>
      <c r="D82" s="105">
        <f t="shared" si="9"/>
        <v>2.3644000194301289</v>
      </c>
      <c r="E82" s="170"/>
    </row>
    <row r="83" spans="1:5" s="127" customFormat="1" ht="14.4" thickTop="1" thickBot="1" x14ac:dyDescent="0.3">
      <c r="A83" s="91" t="s">
        <v>133</v>
      </c>
      <c r="B83" s="102">
        <f>B69+B6</f>
        <v>4023.080731850037</v>
      </c>
      <c r="C83" s="102">
        <f>C69+C6</f>
        <v>9570.0783707389783</v>
      </c>
      <c r="D83" s="102">
        <f>D69+D6</f>
        <v>16432.146391091825</v>
      </c>
      <c r="E83" s="82"/>
    </row>
    <row r="84" spans="1:5" s="135" customFormat="1" ht="15" thickTop="1" x14ac:dyDescent="0.3">
      <c r="A84" s="128" t="s">
        <v>134</v>
      </c>
      <c r="B84" s="131"/>
      <c r="C84" s="131"/>
      <c r="D84" s="131"/>
      <c r="E84" s="170"/>
    </row>
    <row r="85" spans="1:5" s="135" customFormat="1" ht="13.8" thickBot="1" x14ac:dyDescent="0.3">
      <c r="A85" s="91" t="s">
        <v>132</v>
      </c>
      <c r="B85" s="105">
        <f>B71/B64</f>
        <v>19.263204673233052</v>
      </c>
      <c r="C85" s="105">
        <f t="shared" ref="C85:D85" si="10">C71/C64</f>
        <v>5.2074046326919534</v>
      </c>
      <c r="D85" s="105">
        <f t="shared" si="10"/>
        <v>2.7651444448713405</v>
      </c>
      <c r="E85" s="170"/>
    </row>
    <row r="86" spans="1:5" s="127" customFormat="1" ht="14.4" thickTop="1" thickBot="1" x14ac:dyDescent="0.3">
      <c r="A86" s="91" t="s">
        <v>133</v>
      </c>
      <c r="B86" s="102">
        <f>B72+B6</f>
        <v>4517.6907508734994</v>
      </c>
      <c r="C86" s="102">
        <f>C72+C6</f>
        <v>11183.777000875965</v>
      </c>
      <c r="D86" s="102">
        <f>D72+D6</f>
        <v>19206.568701848795</v>
      </c>
      <c r="E86" s="82"/>
    </row>
    <row r="87" spans="1:5" s="127" customFormat="1" ht="13.8" thickTop="1" x14ac:dyDescent="0.25">
      <c r="A87" s="135"/>
      <c r="B87" s="135"/>
      <c r="C87" s="135"/>
      <c r="D87" s="135"/>
    </row>
  </sheetData>
  <mergeCells count="1">
    <mergeCell ref="A37:D37"/>
  </mergeCells>
  <conditionalFormatting sqref="B34:D35">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B22B-5D0C-44C4-9F9E-3CD8E8EF2BCB}">
  <dimension ref="B1:G42"/>
  <sheetViews>
    <sheetView zoomScale="70" zoomScaleNormal="70" workbookViewId="0">
      <selection activeCell="AN33" sqref="AN33"/>
    </sheetView>
  </sheetViews>
  <sheetFormatPr defaultRowHeight="13.2" x14ac:dyDescent="0.25"/>
  <cols>
    <col min="4" max="4" width="8.44140625" bestFit="1" customWidth="1"/>
  </cols>
  <sheetData>
    <row r="1" spans="2:7" ht="13.8" thickBot="1" x14ac:dyDescent="0.3"/>
    <row r="2" spans="2:7" ht="14.4" x14ac:dyDescent="0.3">
      <c r="B2" s="255" t="s">
        <v>135</v>
      </c>
      <c r="C2" s="256"/>
      <c r="D2" s="257"/>
      <c r="E2" s="255" t="s">
        <v>136</v>
      </c>
      <c r="F2" s="256"/>
      <c r="G2" s="257"/>
    </row>
    <row r="3" spans="2:7" x14ac:dyDescent="0.25">
      <c r="B3" s="232" t="s">
        <v>137</v>
      </c>
      <c r="C3">
        <v>0</v>
      </c>
      <c r="D3" s="233">
        <v>0</v>
      </c>
      <c r="E3" t="s">
        <v>138</v>
      </c>
      <c r="G3" s="234">
        <f>((C5+C4+G8)/C8)*100</f>
        <v>45.014437437546192</v>
      </c>
    </row>
    <row r="4" spans="2:7" x14ac:dyDescent="0.25">
      <c r="B4" s="232" t="s">
        <v>139</v>
      </c>
      <c r="C4" s="235">
        <f>'Crop Comparison'!B28</f>
        <v>54612.783141275082</v>
      </c>
      <c r="D4" s="234">
        <f>C4/$C$8*100</f>
        <v>48.113774983035555</v>
      </c>
      <c r="E4" t="s">
        <v>136</v>
      </c>
      <c r="G4" s="233">
        <v>1</v>
      </c>
    </row>
    <row r="5" spans="2:7" x14ac:dyDescent="0.25">
      <c r="B5" s="232" t="s">
        <v>140</v>
      </c>
      <c r="C5" s="235">
        <f>'Crop Comparison'!B30</f>
        <v>7800</v>
      </c>
      <c r="D5" s="234">
        <f>C5/$C$8*100</f>
        <v>6.8717875794182648</v>
      </c>
      <c r="E5" t="s">
        <v>141</v>
      </c>
      <c r="G5" s="234">
        <f>D8-G4-G3</f>
        <v>153.98556256245382</v>
      </c>
    </row>
    <row r="6" spans="2:7" x14ac:dyDescent="0.25">
      <c r="B6" s="232" t="s">
        <v>142</v>
      </c>
      <c r="C6" s="235">
        <f>'Crop Comparison'!B8</f>
        <v>51094.799999999996</v>
      </c>
      <c r="D6" s="234">
        <f>C6/$C$8*100</f>
        <v>45.014437437546192</v>
      </c>
      <c r="E6" s="232"/>
      <c r="G6" s="233"/>
    </row>
    <row r="7" spans="2:7" x14ac:dyDescent="0.25">
      <c r="B7" s="232" t="s">
        <v>143</v>
      </c>
      <c r="D7" s="233">
        <v>100</v>
      </c>
      <c r="E7" s="232"/>
      <c r="G7" s="233"/>
    </row>
    <row r="8" spans="2:7" ht="13.8" thickBot="1" x14ac:dyDescent="0.3">
      <c r="B8" s="236" t="s">
        <v>144</v>
      </c>
      <c r="C8" s="237">
        <f>SUM(C4:C6)</f>
        <v>113507.58314127507</v>
      </c>
      <c r="D8" s="238">
        <f>SUM(D3:D7)</f>
        <v>200</v>
      </c>
      <c r="E8" s="236" t="s">
        <v>145</v>
      </c>
      <c r="F8" s="239"/>
      <c r="G8" s="240">
        <f>C6-(C4+C5)</f>
        <v>-11317.983141275086</v>
      </c>
    </row>
    <row r="10" spans="2:7" x14ac:dyDescent="0.25">
      <c r="C10" s="235">
        <f>C4+C5</f>
        <v>62412.783141275082</v>
      </c>
      <c r="G10" s="235"/>
    </row>
    <row r="18" spans="2:7" ht="13.8" thickBot="1" x14ac:dyDescent="0.3"/>
    <row r="19" spans="2:7" ht="14.4" x14ac:dyDescent="0.3">
      <c r="B19" s="255" t="s">
        <v>146</v>
      </c>
      <c r="C19" s="256"/>
      <c r="D19" s="257"/>
      <c r="E19" s="255" t="s">
        <v>136</v>
      </c>
      <c r="F19" s="256"/>
      <c r="G19" s="257"/>
    </row>
    <row r="20" spans="2:7" x14ac:dyDescent="0.25">
      <c r="B20" s="232" t="s">
        <v>137</v>
      </c>
      <c r="C20">
        <v>0</v>
      </c>
      <c r="D20" s="233">
        <v>0</v>
      </c>
      <c r="E20" t="s">
        <v>138</v>
      </c>
      <c r="G20" s="234">
        <f>((C22+C21+G25)/C25)*100</f>
        <v>41.208459490810093</v>
      </c>
    </row>
    <row r="21" spans="2:7" x14ac:dyDescent="0.25">
      <c r="B21" s="232" t="s">
        <v>139</v>
      </c>
      <c r="C21" s="235">
        <f>'Crop Comparison'!C28</f>
        <v>34186.186053197271</v>
      </c>
      <c r="D21" s="234">
        <f>C21/$C$25*100</f>
        <v>50.150943493808441</v>
      </c>
      <c r="E21" t="s">
        <v>136</v>
      </c>
      <c r="G21" s="233">
        <v>1</v>
      </c>
    </row>
    <row r="22" spans="2:7" x14ac:dyDescent="0.25">
      <c r="B22" s="232" t="s">
        <v>140</v>
      </c>
      <c r="C22" s="235">
        <f>'Crop Comparison'!C30</f>
        <v>5890</v>
      </c>
      <c r="D22" s="234">
        <f t="shared" ref="D22:D23" si="0">C22/$C$25*100</f>
        <v>8.6405970153814629</v>
      </c>
      <c r="E22" t="s">
        <v>141</v>
      </c>
      <c r="G22" s="234">
        <f>D25-G21-G20</f>
        <v>157.7915405091899</v>
      </c>
    </row>
    <row r="23" spans="2:7" x14ac:dyDescent="0.25">
      <c r="B23" s="232" t="s">
        <v>142</v>
      </c>
      <c r="C23" s="235">
        <f>'Crop Comparison'!C8</f>
        <v>28090.399999999998</v>
      </c>
      <c r="D23" s="234">
        <f t="shared" si="0"/>
        <v>41.208459490810093</v>
      </c>
      <c r="E23" s="232"/>
      <c r="G23" s="233"/>
    </row>
    <row r="24" spans="2:7" x14ac:dyDescent="0.25">
      <c r="B24" s="232" t="s">
        <v>143</v>
      </c>
      <c r="D24" s="233">
        <v>100</v>
      </c>
      <c r="E24" s="232"/>
      <c r="G24" s="233"/>
    </row>
    <row r="25" spans="2:7" ht="13.8" thickBot="1" x14ac:dyDescent="0.3">
      <c r="B25" s="236" t="s">
        <v>144</v>
      </c>
      <c r="C25" s="237">
        <f>SUM(C21:C23)</f>
        <v>68166.586053197272</v>
      </c>
      <c r="D25" s="238">
        <f>SUM(D20:D24)</f>
        <v>200</v>
      </c>
      <c r="E25" s="236" t="s">
        <v>145</v>
      </c>
      <c r="F25" s="239"/>
      <c r="G25" s="240">
        <f>C23-(C21+C22)</f>
        <v>-11985.786053197273</v>
      </c>
    </row>
    <row r="35" spans="2:7" ht="13.8" thickBot="1" x14ac:dyDescent="0.3"/>
    <row r="36" spans="2:7" ht="14.4" x14ac:dyDescent="0.3">
      <c r="B36" s="255" t="s">
        <v>147</v>
      </c>
      <c r="C36" s="256"/>
      <c r="D36" s="257"/>
      <c r="E36" s="255" t="s">
        <v>136</v>
      </c>
      <c r="F36" s="256"/>
      <c r="G36" s="257"/>
    </row>
    <row r="37" spans="2:7" x14ac:dyDescent="0.25">
      <c r="B37" s="232" t="s">
        <v>137</v>
      </c>
      <c r="C37">
        <v>0</v>
      </c>
      <c r="D37" s="233">
        <v>0</v>
      </c>
      <c r="E37" t="s">
        <v>138</v>
      </c>
      <c r="G37" s="234">
        <f>((C39+C38+G42)/C42)*100</f>
        <v>56.10624124424313</v>
      </c>
    </row>
    <row r="38" spans="2:7" x14ac:dyDescent="0.25">
      <c r="B38" s="232" t="s">
        <v>139</v>
      </c>
      <c r="C38" s="235">
        <f>'Crop Comparison'!D28</f>
        <v>41086.557441640471</v>
      </c>
      <c r="D38" s="234">
        <f>C38/$C$42*100</f>
        <v>52.851632624717126</v>
      </c>
      <c r="E38" t="s">
        <v>136</v>
      </c>
      <c r="G38" s="233">
        <v>1</v>
      </c>
    </row>
    <row r="39" spans="2:7" x14ac:dyDescent="0.25">
      <c r="B39" s="232" t="s">
        <v>140</v>
      </c>
      <c r="C39" s="235">
        <f>-'Crop Comparison'!D30</f>
        <v>-6963.8</v>
      </c>
      <c r="D39" s="234">
        <f t="shared" ref="D39:D40" si="1">C39/$C$42*100</f>
        <v>-8.95787386896024</v>
      </c>
      <c r="E39" t="s">
        <v>141</v>
      </c>
      <c r="G39" s="234">
        <f>D42-G38-G37</f>
        <v>142.89375875575686</v>
      </c>
    </row>
    <row r="40" spans="2:7" x14ac:dyDescent="0.25">
      <c r="B40" s="232" t="s">
        <v>142</v>
      </c>
      <c r="C40" s="235">
        <f>'Crop Comparison'!D8</f>
        <v>43616.671600000001</v>
      </c>
      <c r="D40" s="234">
        <f t="shared" si="1"/>
        <v>56.10624124424313</v>
      </c>
      <c r="E40" s="232"/>
      <c r="G40" s="233"/>
    </row>
    <row r="41" spans="2:7" x14ac:dyDescent="0.25">
      <c r="B41" s="232" t="s">
        <v>143</v>
      </c>
      <c r="D41" s="233">
        <v>100</v>
      </c>
      <c r="E41" s="232"/>
      <c r="G41" s="233"/>
    </row>
    <row r="42" spans="2:7" ht="13.8" thickBot="1" x14ac:dyDescent="0.3">
      <c r="B42" s="236" t="s">
        <v>144</v>
      </c>
      <c r="C42" s="237">
        <f>SUM(C38:C40)</f>
        <v>77739.429041640469</v>
      </c>
      <c r="D42" s="238">
        <f>SUM(D37:D41)</f>
        <v>200</v>
      </c>
      <c r="E42" s="236" t="s">
        <v>145</v>
      </c>
      <c r="F42" s="239"/>
      <c r="G42" s="240">
        <f>C40-(C38+C39)</f>
        <v>9493.9141583595338</v>
      </c>
    </row>
  </sheetData>
  <mergeCells count="6">
    <mergeCell ref="B2:D2"/>
    <mergeCell ref="E2:G2"/>
    <mergeCell ref="B19:D19"/>
    <mergeCell ref="E19:G19"/>
    <mergeCell ref="B36:D36"/>
    <mergeCell ref="E36:G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34FFA60B85ED4788681866754E016A" ma:contentTypeVersion="16" ma:contentTypeDescription="Create a new document." ma:contentTypeScope="" ma:versionID="b77f188cd9bc58b62dcf211ad9302814">
  <xsd:schema xmlns:xsd="http://www.w3.org/2001/XMLSchema" xmlns:xs="http://www.w3.org/2001/XMLSchema" xmlns:p="http://schemas.microsoft.com/office/2006/metadata/properties" xmlns:ns2="13a0b348-8834-4d7c-b06d-697f5a4282a4" xmlns:ns3="95943543-aac6-4fde-8f8b-77a9ea0cd5ed" targetNamespace="http://schemas.microsoft.com/office/2006/metadata/properties" ma:root="true" ma:fieldsID="367b602f478b113fb50ea0fb44ea6cab" ns2:_="" ns3:_="">
    <xsd:import namespace="13a0b348-8834-4d7c-b06d-697f5a4282a4"/>
    <xsd:import namespace="95943543-aac6-4fde-8f8b-77a9ea0cd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Productionseason" minOccurs="0"/>
                <xsd:element ref="ns2:CropType" minOccurs="0"/>
                <xsd:element ref="ns2:FileType" minOccurs="0"/>
                <xsd:element ref="ns2:Commod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0b348-8834-4d7c-b06d-697f5a428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CEC Data"/>
          <xsd:enumeration value="Choice 2"/>
          <xsd:enumeration value="Choice 3"/>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roductionseason" ma:index="20" nillable="true" ma:displayName="Production season" ma:format="Dropdown" ma:internalName="Productionseason">
      <xsd:simpleType>
        <xsd:restriction base="dms:Choice">
          <xsd:enumeration value="2026-2027"/>
          <xsd:enumeration value="2025-2026"/>
          <xsd:enumeration value="2024-2025"/>
        </xsd:restriction>
      </xsd:simpleType>
    </xsd:element>
    <xsd:element name="CropType" ma:index="21" nillable="true" ma:displayName="Crop Type" ma:format="Dropdown" ma:internalName="CropType">
      <xsd:simpleType>
        <xsd:restriction base="dms:Choice">
          <xsd:enumeration value="Summergrain"/>
          <xsd:enumeration value="Wintercereal"/>
          <xsd:enumeration value="Choice 3"/>
        </xsd:restriction>
      </xsd:simpleType>
    </xsd:element>
    <xsd:element name="FileType" ma:index="22" nillable="true" ma:displayName="File Type" ma:format="Dropdown" ma:internalName="FileType">
      <xsd:simpleType>
        <xsd:restriction base="dms:Choice">
          <xsd:enumeration value="Budget"/>
          <xsd:enumeration value="Model"/>
        </xsd:restriction>
      </xsd:simpleType>
    </xsd:element>
    <xsd:element name="Commodity" ma:index="23" nillable="true" ma:displayName="Commodity" ma:format="Dropdown" ma:internalName="Commodity">
      <xsd:simpleType>
        <xsd:union memberTypes="dms:Text">
          <xsd:simpleType>
            <xsd:restriction base="dms:Choice">
              <xsd:enumeration value="Soybeans"/>
              <xsd:enumeration value="Maize"/>
              <xsd:enumeration value="Sunflowe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943543-aac6-4fde-8f8b-77a9ea0cd5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573613-ccca-48a7-99d6-f425781793e5}" ma:internalName="TaxCatchAll" ma:showField="CatchAllData" ma:web="95943543-aac6-4fde-8f8b-77a9ea0cd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Type xmlns="13a0b348-8834-4d7c-b06d-697f5a4282a4" xsi:nil="true"/>
    <TaxCatchAll xmlns="95943543-aac6-4fde-8f8b-77a9ea0cd5ed" xsi:nil="true"/>
    <lcf76f155ced4ddcb4097134ff3c332f xmlns="13a0b348-8834-4d7c-b06d-697f5a4282a4">
      <Terms xmlns="http://schemas.microsoft.com/office/infopath/2007/PartnerControls"/>
    </lcf76f155ced4ddcb4097134ff3c332f>
    <FileType xmlns="13a0b348-8834-4d7c-b06d-697f5a4282a4">Budget</FileType>
    <Productionseason xmlns="13a0b348-8834-4d7c-b06d-697f5a4282a4">2026-2027</Productionseason>
    <CropType xmlns="13a0b348-8834-4d7c-b06d-697f5a4282a4">Summergrain</CropType>
    <Commodity xmlns="13a0b348-8834-4d7c-b06d-697f5a4282a4" xsi:nil="true"/>
  </documentManagement>
</p:properties>
</file>

<file path=customXml/itemProps1.xml><?xml version="1.0" encoding="utf-8"?>
<ds:datastoreItem xmlns:ds="http://schemas.openxmlformats.org/officeDocument/2006/customXml" ds:itemID="{A5194FF3-D5FD-4E86-954E-C8721B8C59D1}">
  <ds:schemaRefs>
    <ds:schemaRef ds:uri="http://schemas.microsoft.com/office/2006/metadata/longProperties"/>
  </ds:schemaRefs>
</ds:datastoreItem>
</file>

<file path=customXml/itemProps2.xml><?xml version="1.0" encoding="utf-8"?>
<ds:datastoreItem xmlns:ds="http://schemas.openxmlformats.org/officeDocument/2006/customXml" ds:itemID="{54A8DD39-5D10-4883-A67F-85C6A687D361}">
  <ds:schemaRefs>
    <ds:schemaRef ds:uri="http://schemas.microsoft.com/sharepoint/v3/contenttype/forms"/>
  </ds:schemaRefs>
</ds:datastoreItem>
</file>

<file path=customXml/itemProps3.xml><?xml version="1.0" encoding="utf-8"?>
<ds:datastoreItem xmlns:ds="http://schemas.openxmlformats.org/officeDocument/2006/customXml" ds:itemID="{89E36897-E25F-47C2-90E6-B561ECAE65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0b348-8834-4d7c-b06d-697f5a4282a4"/>
    <ds:schemaRef ds:uri="95943543-aac6-4fde-8f8b-77a9ea0cd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13FBF7B-3DFC-4FBB-AC98-0447FBB81AAA}">
  <ds:schemaRefs>
    <ds:schemaRef ds:uri="http://purl.org/dc/dcmitype/"/>
    <ds:schemaRef ds:uri="95943543-aac6-4fde-8f8b-77a9ea0cd5ed"/>
    <ds:schemaRef ds:uri="http://www.w3.org/XML/1998/namespace"/>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13a0b348-8834-4d7c-b06d-697f5a4282a4"/>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Pryse + Sensatiwiteitsanalise</vt:lpstr>
      <vt:lpstr>Bes-mielies</vt:lpstr>
      <vt:lpstr>Bes-soja (vermin bewerk)</vt:lpstr>
      <vt:lpstr>Bes-Grondbone</vt:lpstr>
      <vt:lpstr>Crop Comparison</vt:lpstr>
      <vt:lpstr>Ref Meters</vt:lpstr>
      <vt:lpstr>Opbrengspeil</vt:lpstr>
      <vt:lpstr>'Bes-mielies'!Print_Area</vt:lpstr>
      <vt:lpstr>'Bes-soja (vermin bewerk)'!Print_Area</vt:lpstr>
      <vt:lpstr>Sojaopbrengspeil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Private</dc:creator>
  <cp:keywords/>
  <dc:description/>
  <cp:lastModifiedBy>Cathrine Mathekga</cp:lastModifiedBy>
  <cp:revision/>
  <dcterms:created xsi:type="dcterms:W3CDTF">2007-01-09T12:07:13Z</dcterms:created>
  <dcterms:modified xsi:type="dcterms:W3CDTF">2026-08-18T07:33:27Z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16552600.0000000</vt:lpwstr>
  </property>
  <property fmtid="{D5CDD505-2E9C-101B-9397-08002B2CF9AE}" pid="4" name="display_urn:schemas-microsoft-com:office:office#Author">
    <vt:lpwstr>Petru Fourie</vt:lpwstr>
  </property>
  <property fmtid="{D5CDD505-2E9C-101B-9397-08002B2CF9AE}" pid="5" name="MediaServiceImageTags">
    <vt:lpwstr/>
  </property>
  <property fmtid="{D5CDD505-2E9C-101B-9397-08002B2CF9AE}" pid="6" name="ContentTypeId">
    <vt:lpwstr>0x010100DF34FFA60B85ED4788681866754E016A</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